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
    </mc:Choice>
  </mc:AlternateContent>
  <xr:revisionPtr revIDLastSave="0" documentId="13_ncr:1_{56F65F32-F1E0-4FB3-B6AE-07CA119825AB}"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options" sheetId="4" r:id="rId4"/>
    <sheet name="Everything else" sheetId="5" r:id="rId5"/>
    <sheet name="Model takeoff" sheetId="6" r:id="rId6"/>
    <sheet name="Not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5" l="1"/>
  <c r="E125" i="5"/>
  <c r="G124" i="5"/>
  <c r="E124" i="5"/>
  <c r="H124" i="5" s="1"/>
  <c r="G123" i="5"/>
  <c r="E123" i="5"/>
  <c r="H123" i="5" s="1"/>
  <c r="G118" i="5"/>
  <c r="E118" i="5"/>
  <c r="H118" i="5" s="1"/>
  <c r="G117" i="5"/>
  <c r="E117" i="5"/>
  <c r="H117" i="5" s="1"/>
  <c r="G116" i="5"/>
  <c r="H116" i="5" s="1"/>
  <c r="E116" i="5"/>
  <c r="G115" i="5"/>
  <c r="E115" i="5"/>
  <c r="H115" i="5" s="1"/>
  <c r="E114" i="5"/>
  <c r="E113" i="5"/>
  <c r="E107" i="5"/>
  <c r="E106" i="5"/>
  <c r="G99" i="5"/>
  <c r="E99" i="5"/>
  <c r="H99" i="5" s="1"/>
  <c r="E98" i="5"/>
  <c r="G97" i="5"/>
  <c r="E97" i="5"/>
  <c r="H97" i="5" s="1"/>
  <c r="G95" i="5"/>
  <c r="E95" i="5"/>
  <c r="H95" i="5" s="1"/>
  <c r="G94" i="5"/>
  <c r="E94" i="5"/>
  <c r="E93" i="5"/>
  <c r="E92" i="5"/>
  <c r="E87" i="5"/>
  <c r="E85" i="5"/>
  <c r="G84" i="5"/>
  <c r="E84" i="5"/>
  <c r="H84" i="5" s="1"/>
  <c r="G83" i="5"/>
  <c r="E83" i="5"/>
  <c r="H83" i="5" s="1"/>
  <c r="G78" i="5"/>
  <c r="E78" i="5"/>
  <c r="E77" i="5"/>
  <c r="E76" i="5"/>
  <c r="G75" i="5"/>
  <c r="E75" i="5"/>
  <c r="E70" i="5"/>
  <c r="E69" i="5"/>
  <c r="E68" i="5"/>
  <c r="G67" i="5"/>
  <c r="E67" i="5"/>
  <c r="H67" i="5" s="1"/>
  <c r="G66" i="5"/>
  <c r="E66" i="5"/>
  <c r="G65" i="5"/>
  <c r="E65" i="5"/>
  <c r="H65" i="5" s="1"/>
  <c r="G64" i="5"/>
  <c r="E64" i="5"/>
  <c r="E63" i="5"/>
  <c r="G62" i="5"/>
  <c r="E62" i="5"/>
  <c r="B57" i="5"/>
  <c r="G57" i="5" s="1"/>
  <c r="B56" i="5"/>
  <c r="E56" i="5" s="1"/>
  <c r="B55" i="5"/>
  <c r="G55" i="5" s="1"/>
  <c r="B54" i="5"/>
  <c r="G47" i="5"/>
  <c r="E47" i="5"/>
  <c r="G46" i="5"/>
  <c r="E46" i="5"/>
  <c r="E45" i="5"/>
  <c r="G44" i="5"/>
  <c r="E44" i="5"/>
  <c r="H44" i="5" s="1"/>
  <c r="E43" i="5"/>
  <c r="E42" i="5"/>
  <c r="E37" i="5"/>
  <c r="E36" i="5"/>
  <c r="G35" i="5"/>
  <c r="E35" i="5"/>
  <c r="G34" i="5"/>
  <c r="E34" i="5"/>
  <c r="H34" i="5" s="1"/>
  <c r="G33" i="5"/>
  <c r="E33" i="5"/>
  <c r="H33" i="5" s="1"/>
  <c r="E32" i="5"/>
  <c r="G30" i="5"/>
  <c r="E30" i="5"/>
  <c r="H30" i="5" s="1"/>
  <c r="E25" i="5"/>
  <c r="E24" i="5"/>
  <c r="E23" i="5"/>
  <c r="E22" i="5"/>
  <c r="G21" i="5"/>
  <c r="E21" i="5"/>
  <c r="H21" i="5" s="1"/>
  <c r="G20" i="5"/>
  <c r="E20" i="5"/>
  <c r="H20" i="5" s="1"/>
  <c r="G19" i="5"/>
  <c r="E19" i="5"/>
  <c r="E18" i="5"/>
  <c r="G17" i="5"/>
  <c r="E17" i="5"/>
  <c r="H17" i="5" s="1"/>
  <c r="E16" i="5"/>
  <c r="B12" i="5"/>
  <c r="B9" i="5"/>
  <c r="B105" i="5" s="1"/>
  <c r="B7" i="5"/>
  <c r="B6" i="5"/>
  <c r="G114" i="5" s="1"/>
  <c r="H114" i="5" s="1"/>
  <c r="G107" i="4"/>
  <c r="F107" i="4"/>
  <c r="B107" i="4"/>
  <c r="H107" i="4" s="1"/>
  <c r="G106" i="4"/>
  <c r="F106" i="4"/>
  <c r="G105" i="4"/>
  <c r="G104" i="4"/>
  <c r="H103" i="4"/>
  <c r="F103" i="4"/>
  <c r="G103" i="4" s="1"/>
  <c r="I103" i="4" s="1"/>
  <c r="H102" i="4"/>
  <c r="F102" i="4"/>
  <c r="H101" i="4"/>
  <c r="F101" i="4"/>
  <c r="H100" i="4"/>
  <c r="F100" i="4"/>
  <c r="B100" i="4"/>
  <c r="H99" i="4"/>
  <c r="F99" i="4"/>
  <c r="H98" i="4"/>
  <c r="F98" i="4"/>
  <c r="H97" i="4"/>
  <c r="F97" i="4"/>
  <c r="H96" i="4"/>
  <c r="F96" i="4"/>
  <c r="H95" i="4"/>
  <c r="F95" i="4"/>
  <c r="H94" i="4"/>
  <c r="F94" i="4"/>
  <c r="H93" i="4"/>
  <c r="G92" i="4"/>
  <c r="H91" i="4"/>
  <c r="F91" i="4"/>
  <c r="H90" i="4"/>
  <c r="F90" i="4"/>
  <c r="H89" i="4"/>
  <c r="F89" i="4"/>
  <c r="H88" i="4"/>
  <c r="F88" i="4"/>
  <c r="B66" i="4"/>
  <c r="F93" i="4" s="1"/>
  <c r="B65" i="4"/>
  <c r="B64" i="4"/>
  <c r="G42" i="4"/>
  <c r="G41" i="4"/>
  <c r="F41" i="4"/>
  <c r="G40" i="4"/>
  <c r="H39" i="4"/>
  <c r="F39" i="4"/>
  <c r="H38" i="4"/>
  <c r="F38" i="4"/>
  <c r="H37" i="4"/>
  <c r="F37" i="4"/>
  <c r="H36" i="4"/>
  <c r="F36" i="4"/>
  <c r="H35" i="4"/>
  <c r="F35" i="4"/>
  <c r="H34" i="4"/>
  <c r="F34" i="4"/>
  <c r="B12" i="4"/>
  <c r="B11" i="4"/>
  <c r="F105" i="4" s="1"/>
  <c r="B7" i="4"/>
  <c r="B95" i="4" s="1"/>
  <c r="B6" i="4"/>
  <c r="G100" i="3"/>
  <c r="B100" i="3"/>
  <c r="G99" i="3"/>
  <c r="F99" i="3"/>
  <c r="G98" i="3"/>
  <c r="F98" i="3"/>
  <c r="G97" i="3"/>
  <c r="F97" i="3"/>
  <c r="G96" i="3"/>
  <c r="F96" i="3"/>
  <c r="H95" i="3"/>
  <c r="H94" i="3"/>
  <c r="G94" i="3"/>
  <c r="I94" i="3" s="1"/>
  <c r="H93" i="3"/>
  <c r="H92" i="3"/>
  <c r="H91" i="3"/>
  <c r="H90" i="3"/>
  <c r="H89" i="3"/>
  <c r="H88" i="3"/>
  <c r="F88" i="3"/>
  <c r="H87" i="3"/>
  <c r="H86" i="3"/>
  <c r="H85" i="3"/>
  <c r="H84" i="3"/>
  <c r="H83" i="3"/>
  <c r="H82" i="3"/>
  <c r="H81" i="3"/>
  <c r="B71" i="3"/>
  <c r="B86" i="3" s="1"/>
  <c r="G86" i="3" s="1"/>
  <c r="B59" i="3"/>
  <c r="D53" i="6" s="1"/>
  <c r="E53" i="6" s="1"/>
  <c r="B31" i="3"/>
  <c r="B30" i="3"/>
  <c r="F90" i="3" s="1"/>
  <c r="B29" i="3"/>
  <c r="B28" i="3"/>
  <c r="F100" i="3" s="1"/>
  <c r="B27" i="3"/>
  <c r="B26" i="3"/>
  <c r="B25" i="3"/>
  <c r="B24" i="3"/>
  <c r="B23" i="3"/>
  <c r="B21" i="3"/>
  <c r="B20" i="3"/>
  <c r="B19" i="3"/>
  <c r="B65" i="3" s="1"/>
  <c r="B66" i="3" s="1"/>
  <c r="B15" i="3"/>
  <c r="B6" i="3"/>
  <c r="B12" i="3" s="1"/>
  <c r="G367" i="2"/>
  <c r="F367" i="2"/>
  <c r="G366" i="2"/>
  <c r="F366" i="2"/>
  <c r="B366" i="2"/>
  <c r="H366" i="2" s="1"/>
  <c r="G365" i="2"/>
  <c r="F365" i="2"/>
  <c r="B365" i="2"/>
  <c r="H365" i="2" s="1"/>
  <c r="G364" i="2"/>
  <c r="F364" i="2"/>
  <c r="G363" i="2"/>
  <c r="F363" i="2"/>
  <c r="G362" i="2"/>
  <c r="F362" i="2"/>
  <c r="G361" i="2"/>
  <c r="F361" i="2"/>
  <c r="G360" i="2"/>
  <c r="F360" i="2"/>
  <c r="G359" i="2"/>
  <c r="F359" i="2"/>
  <c r="B359" i="2"/>
  <c r="H359" i="2" s="1"/>
  <c r="H355" i="2"/>
  <c r="H354" i="2"/>
  <c r="H353" i="2"/>
  <c r="H352" i="2"/>
  <c r="H348" i="2"/>
  <c r="H347" i="2"/>
  <c r="H349" i="2" s="1"/>
  <c r="H343" i="2"/>
  <c r="H344" i="2" s="1"/>
  <c r="H339" i="2"/>
  <c r="H338" i="2"/>
  <c r="H337" i="2"/>
  <c r="H336" i="2"/>
  <c r="H335" i="2"/>
  <c r="F335" i="2"/>
  <c r="H334" i="2"/>
  <c r="F334" i="2"/>
  <c r="H333" i="2"/>
  <c r="F333" i="2"/>
  <c r="H329" i="2"/>
  <c r="H328" i="2"/>
  <c r="H330" i="2" s="1"/>
  <c r="H324" i="2"/>
  <c r="H323" i="2"/>
  <c r="H322" i="2"/>
  <c r="B322" i="2"/>
  <c r="G322" i="2" s="1"/>
  <c r="I322" i="2" s="1"/>
  <c r="H321" i="2"/>
  <c r="H320" i="2"/>
  <c r="H319" i="2"/>
  <c r="H318" i="2"/>
  <c r="H317" i="2"/>
  <c r="H316" i="2"/>
  <c r="H315" i="2"/>
  <c r="H314" i="2"/>
  <c r="B305" i="2"/>
  <c r="B304" i="2"/>
  <c r="B298" i="2"/>
  <c r="B297" i="2"/>
  <c r="D44" i="6" s="1"/>
  <c r="E44" i="6" s="1"/>
  <c r="B277" i="2"/>
  <c r="B270" i="2"/>
  <c r="B264" i="2"/>
  <c r="B260" i="2"/>
  <c r="B253" i="2"/>
  <c r="B247" i="2"/>
  <c r="B236" i="2"/>
  <c r="B230" i="2"/>
  <c r="B226" i="2"/>
  <c r="B219" i="2"/>
  <c r="B213" i="2"/>
  <c r="B212" i="2"/>
  <c r="B209" i="2"/>
  <c r="B202" i="2"/>
  <c r="B196" i="2"/>
  <c r="B198" i="2" s="1"/>
  <c r="B195" i="2"/>
  <c r="B192" i="2"/>
  <c r="B185" i="2"/>
  <c r="B179" i="2"/>
  <c r="B178" i="2"/>
  <c r="B175" i="2"/>
  <c r="B168" i="2"/>
  <c r="B163" i="2"/>
  <c r="B160" i="2"/>
  <c r="B155" i="2"/>
  <c r="B144" i="2"/>
  <c r="B139" i="2"/>
  <c r="B136" i="2"/>
  <c r="B131" i="2"/>
  <c r="B126" i="2"/>
  <c r="D32" i="6" s="1"/>
  <c r="E32" i="6" s="1"/>
  <c r="B124" i="2"/>
  <c r="B158" i="2" s="1"/>
  <c r="B119" i="2"/>
  <c r="B116" i="2"/>
  <c r="D11" i="6" s="1"/>
  <c r="E11" i="6" s="1"/>
  <c r="B114" i="2"/>
  <c r="B18" i="3" s="1"/>
  <c r="B108" i="2"/>
  <c r="B107" i="2"/>
  <c r="B110" i="2" s="1"/>
  <c r="B106" i="2"/>
  <c r="D40" i="6" s="1"/>
  <c r="E40" i="6" s="1"/>
  <c r="B91" i="2"/>
  <c r="B40" i="1"/>
  <c r="C10" i="1"/>
  <c r="B354" i="2" l="1"/>
  <c r="G354" i="2" s="1"/>
  <c r="I354" i="2" s="1"/>
  <c r="H325" i="2"/>
  <c r="H100" i="3"/>
  <c r="I100" i="3" s="1"/>
  <c r="G368" i="2"/>
  <c r="B228" i="2"/>
  <c r="G100" i="4"/>
  <c r="I100" i="4" s="1"/>
  <c r="H23" i="5"/>
  <c r="G56" i="5"/>
  <c r="H56" i="5" s="1"/>
  <c r="G87" i="5"/>
  <c r="H87" i="5" s="1"/>
  <c r="G125" i="5"/>
  <c r="H125" i="5" s="1"/>
  <c r="H127" i="5" s="1"/>
  <c r="H356" i="2"/>
  <c r="H19" i="5"/>
  <c r="B215" i="2"/>
  <c r="E71" i="5"/>
  <c r="B21" i="1" s="1"/>
  <c r="H46" i="5"/>
  <c r="E48" i="5"/>
  <c r="B19" i="1" s="1"/>
  <c r="B211" i="2"/>
  <c r="B218" i="2" s="1"/>
  <c r="G36" i="5"/>
  <c r="G95" i="4"/>
  <c r="I95" i="4" s="1"/>
  <c r="I86" i="3"/>
  <c r="G42" i="5"/>
  <c r="H42" i="5" s="1"/>
  <c r="E57" i="5"/>
  <c r="H57" i="5" s="1"/>
  <c r="H70" i="5"/>
  <c r="G92" i="5"/>
  <c r="H92" i="5" s="1"/>
  <c r="G126" i="5"/>
  <c r="H126" i="5" s="1"/>
  <c r="G22" i="5"/>
  <c r="H22" i="5" s="1"/>
  <c r="G107" i="5"/>
  <c r="H107" i="5" s="1"/>
  <c r="G23" i="5"/>
  <c r="G69" i="5"/>
  <c r="H69" i="5" s="1"/>
  <c r="B180" i="2"/>
  <c r="B189" i="2" s="1"/>
  <c r="B11" i="3"/>
  <c r="B57" i="3" s="1"/>
  <c r="C47" i="1" s="1"/>
  <c r="F42" i="4"/>
  <c r="G70" i="5"/>
  <c r="D39" i="6"/>
  <c r="E39" i="6" s="1"/>
  <c r="H36" i="5"/>
  <c r="G16" i="5"/>
  <c r="H16" i="5" s="1"/>
  <c r="G25" i="5"/>
  <c r="H25" i="5" s="1"/>
  <c r="G43" i="5"/>
  <c r="H43" i="5" s="1"/>
  <c r="H62" i="5"/>
  <c r="H75" i="5"/>
  <c r="H94" i="5"/>
  <c r="B187" i="2"/>
  <c r="B186" i="2"/>
  <c r="B181" i="2"/>
  <c r="E79" i="5"/>
  <c r="B22" i="1" s="1"/>
  <c r="H78" i="5"/>
  <c r="I359" i="2"/>
  <c r="I365" i="2"/>
  <c r="E26" i="5"/>
  <c r="D38" i="6"/>
  <c r="E38" i="6" s="1"/>
  <c r="B364" i="2"/>
  <c r="H364" i="2" s="1"/>
  <c r="I364" i="2" s="1"/>
  <c r="B6" i="2"/>
  <c r="B324" i="2"/>
  <c r="G324" i="2" s="1"/>
  <c r="I324" i="2" s="1"/>
  <c r="B16" i="3"/>
  <c r="B55" i="3" s="1"/>
  <c r="I107" i="4"/>
  <c r="G54" i="5"/>
  <c r="E54" i="5"/>
  <c r="H64" i="5"/>
  <c r="D64" i="6"/>
  <c r="E64" i="6" s="1"/>
  <c r="B153" i="2"/>
  <c r="B134" i="2"/>
  <c r="B125" i="2"/>
  <c r="I366" i="2"/>
  <c r="D6" i="6"/>
  <c r="E6" i="6" s="1"/>
  <c r="H113" i="5"/>
  <c r="B115" i="2"/>
  <c r="B221" i="2"/>
  <c r="B220" i="2"/>
  <c r="B323" i="2"/>
  <c r="G323" i="2" s="1"/>
  <c r="I323" i="2" s="1"/>
  <c r="B86" i="5"/>
  <c r="B214" i="2"/>
  <c r="B223" i="2" s="1"/>
  <c r="B129" i="2"/>
  <c r="B204" i="2"/>
  <c r="B203" i="2"/>
  <c r="B216" i="2"/>
  <c r="H47" i="5"/>
  <c r="D45" i="6"/>
  <c r="E45" i="6" s="1"/>
  <c r="B355" i="2"/>
  <c r="G355" i="2" s="1"/>
  <c r="I355" i="2" s="1"/>
  <c r="B233" i="2"/>
  <c r="B217" i="2"/>
  <c r="B363" i="2"/>
  <c r="H363" i="2" s="1"/>
  <c r="I363" i="2" s="1"/>
  <c r="H66" i="5"/>
  <c r="B194" i="2"/>
  <c r="B262" i="2"/>
  <c r="B43" i="1"/>
  <c r="B197" i="2"/>
  <c r="B206" i="2" s="1"/>
  <c r="B81" i="4"/>
  <c r="E127" i="5"/>
  <c r="B27" i="1" s="1"/>
  <c r="D13" i="6"/>
  <c r="E13" i="6" s="1"/>
  <c r="B117" i="2"/>
  <c r="B118" i="2" s="1"/>
  <c r="G105" i="5"/>
  <c r="E105" i="5"/>
  <c r="H105" i="5" s="1"/>
  <c r="B177" i="2"/>
  <c r="B245" i="2"/>
  <c r="B289" i="2"/>
  <c r="B309" i="2"/>
  <c r="H340" i="2"/>
  <c r="H35" i="5"/>
  <c r="G127" i="5"/>
  <c r="C27" i="1" s="1"/>
  <c r="F89" i="3"/>
  <c r="F104" i="4"/>
  <c r="B9" i="3"/>
  <c r="B19" i="2" s="1"/>
  <c r="B10" i="3"/>
  <c r="G18" i="5"/>
  <c r="G45" i="5"/>
  <c r="E55" i="5"/>
  <c r="H55" i="5" s="1"/>
  <c r="G76" i="5"/>
  <c r="G113" i="5"/>
  <c r="G37" i="5"/>
  <c r="H37" i="5" s="1"/>
  <c r="G68" i="5"/>
  <c r="H68" i="5" s="1"/>
  <c r="F40" i="4"/>
  <c r="F92" i="4"/>
  <c r="G24" i="5"/>
  <c r="H24" i="5" s="1"/>
  <c r="G32" i="5"/>
  <c r="H32" i="5" s="1"/>
  <c r="G63" i="5"/>
  <c r="G85" i="5"/>
  <c r="H85" i="5" s="1"/>
  <c r="G93" i="5"/>
  <c r="H93" i="5" s="1"/>
  <c r="G98" i="5"/>
  <c r="H98" i="5" s="1"/>
  <c r="G77" i="5"/>
  <c r="H77" i="5" s="1"/>
  <c r="G106" i="5"/>
  <c r="H106" i="5" s="1"/>
  <c r="G48" i="5" l="1"/>
  <c r="C19" i="1" s="1"/>
  <c r="D19" i="1" s="1"/>
  <c r="E19" i="1" s="1"/>
  <c r="G26" i="5"/>
  <c r="G58" i="5"/>
  <c r="C20" i="1" s="1"/>
  <c r="B164" i="2"/>
  <c r="B165" i="2"/>
  <c r="B154" i="2"/>
  <c r="B7" i="2"/>
  <c r="B243" i="2"/>
  <c r="B151" i="2"/>
  <c r="B127" i="2"/>
  <c r="B41" i="1"/>
  <c r="D10" i="6"/>
  <c r="E10" i="6" s="1"/>
  <c r="B130" i="2"/>
  <c r="B133" i="2" s="1"/>
  <c r="B229" i="2"/>
  <c r="B263" i="2"/>
  <c r="C41" i="1"/>
  <c r="B135" i="2"/>
  <c r="B121" i="2"/>
  <c r="B138" i="2"/>
  <c r="B159" i="2"/>
  <c r="B113" i="2"/>
  <c r="B246" i="2"/>
  <c r="C17" i="1"/>
  <c r="B17" i="1"/>
  <c r="D17" i="1" s="1"/>
  <c r="E17" i="1" s="1"/>
  <c r="G86" i="5"/>
  <c r="G88" i="5" s="1"/>
  <c r="C23" i="1" s="1"/>
  <c r="E86" i="5"/>
  <c r="H45" i="5"/>
  <c r="H48" i="5" s="1"/>
  <c r="H18" i="5"/>
  <c r="H26" i="5" s="1"/>
  <c r="D48" i="6"/>
  <c r="E48" i="6" s="1"/>
  <c r="B52" i="1"/>
  <c r="B8" i="5"/>
  <c r="B96" i="5" s="1"/>
  <c r="B20" i="2"/>
  <c r="D30" i="6"/>
  <c r="E30" i="6" s="1"/>
  <c r="B318" i="2"/>
  <c r="G318" i="2" s="1"/>
  <c r="I318" i="2" s="1"/>
  <c r="D12" i="6"/>
  <c r="E12" i="6" s="1"/>
  <c r="C43" i="1"/>
  <c r="B17" i="3"/>
  <c r="B8" i="4"/>
  <c r="H63" i="5"/>
  <c r="H71" i="5" s="1"/>
  <c r="G71" i="5"/>
  <c r="C21" i="1" s="1"/>
  <c r="D21" i="1" s="1"/>
  <c r="E21" i="1" s="1"/>
  <c r="H54" i="5"/>
  <c r="H58" i="5" s="1"/>
  <c r="E58" i="5"/>
  <c r="B20" i="1" s="1"/>
  <c r="D20" i="1" s="1"/>
  <c r="E20" i="1" s="1"/>
  <c r="B267" i="2"/>
  <c r="B276" i="2" s="1"/>
  <c r="B251" i="2"/>
  <c r="B250" i="2"/>
  <c r="B258" i="2" s="1"/>
  <c r="B201" i="2"/>
  <c r="B200" i="2"/>
  <c r="B199" i="2"/>
  <c r="B208" i="2" s="1"/>
  <c r="B224" i="2"/>
  <c r="B205" i="2"/>
  <c r="B242" i="2"/>
  <c r="B174" i="2"/>
  <c r="B225" i="2"/>
  <c r="B188" i="2"/>
  <c r="B162" i="2"/>
  <c r="B184" i="2"/>
  <c r="B183" i="2"/>
  <c r="B182" i="2"/>
  <c r="B190" i="2" s="1"/>
  <c r="D27" i="1"/>
  <c r="E27" i="1" s="1"/>
  <c r="D50" i="6"/>
  <c r="E50" i="6" s="1"/>
  <c r="B61" i="3"/>
  <c r="B316" i="2"/>
  <c r="G316" i="2" s="1"/>
  <c r="I316" i="2" s="1"/>
  <c r="D27" i="6"/>
  <c r="E27" i="6" s="1"/>
  <c r="G79" i="5"/>
  <c r="C22" i="1" s="1"/>
  <c r="D22" i="1" s="1"/>
  <c r="E22" i="1" s="1"/>
  <c r="B222" i="2"/>
  <c r="H76" i="5"/>
  <c r="H79" i="5" s="1"/>
  <c r="B140" i="2"/>
  <c r="B141" i="2"/>
  <c r="B150" i="2" s="1"/>
  <c r="B191" i="2" l="1"/>
  <c r="B283" i="2" s="1"/>
  <c r="B259" i="2"/>
  <c r="B207" i="2"/>
  <c r="B272" i="2"/>
  <c r="B271" i="2"/>
  <c r="B58" i="3"/>
  <c r="D52" i="6" s="1"/>
  <c r="E52" i="6" s="1"/>
  <c r="B56" i="3"/>
  <c r="B255" i="2"/>
  <c r="B254" i="2"/>
  <c r="B249" i="2"/>
  <c r="B71" i="2"/>
  <c r="B51" i="2"/>
  <c r="B47" i="2"/>
  <c r="B43" i="2"/>
  <c r="B67" i="2"/>
  <c r="B120" i="2"/>
  <c r="B308" i="2"/>
  <c r="B170" i="2"/>
  <c r="B169" i="2"/>
  <c r="B157" i="2"/>
  <c r="B238" i="2"/>
  <c r="B237" i="2"/>
  <c r="B234" i="2"/>
  <c r="B241" i="2" s="1"/>
  <c r="B235" i="2"/>
  <c r="B82" i="4"/>
  <c r="B94" i="4" s="1"/>
  <c r="G94" i="4" s="1"/>
  <c r="I94" i="4" s="1"/>
  <c r="B83" i="4"/>
  <c r="B9" i="4"/>
  <c r="B10" i="4"/>
  <c r="B167" i="2"/>
  <c r="B166" i="2"/>
  <c r="B173" i="2" s="1"/>
  <c r="B142" i="2"/>
  <c r="B149" i="2" s="1"/>
  <c r="B143" i="2"/>
  <c r="H86" i="5"/>
  <c r="H88" i="5" s="1"/>
  <c r="E88" i="5"/>
  <c r="B23" i="1" s="1"/>
  <c r="D23" i="1" s="1"/>
  <c r="E23" i="1" s="1"/>
  <c r="G96" i="5"/>
  <c r="G100" i="5" s="1"/>
  <c r="C24" i="1" s="1"/>
  <c r="E96" i="5"/>
  <c r="B232" i="2"/>
  <c r="B239" i="2" s="1"/>
  <c r="D14" i="6"/>
  <c r="E14" i="6" s="1"/>
  <c r="B44" i="1"/>
  <c r="B8" i="2"/>
  <c r="B360" i="2"/>
  <c r="H360" i="2" s="1"/>
  <c r="B145" i="2"/>
  <c r="B146" i="2"/>
  <c r="B137" i="2"/>
  <c r="D33" i="6"/>
  <c r="E33" i="6" s="1"/>
  <c r="B132" i="2"/>
  <c r="B265" i="2"/>
  <c r="B273" i="2" s="1"/>
  <c r="B274" i="2"/>
  <c r="B231" i="2"/>
  <c r="B240" i="2" s="1"/>
  <c r="B161" i="2"/>
  <c r="B248" i="2"/>
  <c r="B156" i="2"/>
  <c r="B171" i="2" s="1"/>
  <c r="D55" i="6"/>
  <c r="E55" i="6" s="1"/>
  <c r="B63" i="3"/>
  <c r="B68" i="3"/>
  <c r="B266" i="2"/>
  <c r="B252" i="2"/>
  <c r="B268" i="2"/>
  <c r="B275" i="2" s="1"/>
  <c r="B269" i="2"/>
  <c r="B256" i="2" l="1"/>
  <c r="B147" i="2"/>
  <c r="B172" i="2"/>
  <c r="I360" i="2"/>
  <c r="D8" i="6"/>
  <c r="E8" i="6" s="1"/>
  <c r="B22" i="3"/>
  <c r="B77" i="3" s="1"/>
  <c r="B42" i="1"/>
  <c r="D61" i="6"/>
  <c r="E61" i="6" s="1"/>
  <c r="B82" i="3"/>
  <c r="G82" i="3" s="1"/>
  <c r="I82" i="3" s="1"/>
  <c r="B37" i="4"/>
  <c r="G37" i="4" s="1"/>
  <c r="I37" i="4" s="1"/>
  <c r="B40" i="4"/>
  <c r="H40" i="4" s="1"/>
  <c r="B105" i="4"/>
  <c r="H105" i="4" s="1"/>
  <c r="I105" i="4" s="1"/>
  <c r="B98" i="4"/>
  <c r="G98" i="4" s="1"/>
  <c r="I98" i="4" s="1"/>
  <c r="B101" i="4"/>
  <c r="G101" i="4" s="1"/>
  <c r="I101" i="4" s="1"/>
  <c r="B36" i="4"/>
  <c r="G36" i="4" s="1"/>
  <c r="I36" i="4" s="1"/>
  <c r="B104" i="4"/>
  <c r="H104" i="4" s="1"/>
  <c r="I104" i="4" s="1"/>
  <c r="B29" i="4"/>
  <c r="B84" i="4"/>
  <c r="B35" i="4"/>
  <c r="G35" i="4" s="1"/>
  <c r="I35" i="4" s="1"/>
  <c r="B41" i="4"/>
  <c r="H41" i="4" s="1"/>
  <c r="I41" i="4" s="1"/>
  <c r="B85" i="4"/>
  <c r="B118" i="4" s="1"/>
  <c r="B148" i="2"/>
  <c r="B96" i="4"/>
  <c r="G96" i="4" s="1"/>
  <c r="I96" i="4" s="1"/>
  <c r="B97" i="4"/>
  <c r="G97" i="4" s="1"/>
  <c r="I97" i="4" s="1"/>
  <c r="B99" i="4"/>
  <c r="G99" i="4" s="1"/>
  <c r="I99" i="4" s="1"/>
  <c r="D57" i="6"/>
  <c r="E57" i="6" s="1"/>
  <c r="B76" i="3"/>
  <c r="B257" i="2"/>
  <c r="B288" i="2"/>
  <c r="B287" i="2"/>
  <c r="D28" i="6" s="1"/>
  <c r="E28" i="6" s="1"/>
  <c r="B122" i="2"/>
  <c r="B294" i="2"/>
  <c r="B295" i="2" s="1"/>
  <c r="B281" i="2"/>
  <c r="B75" i="2"/>
  <c r="B109" i="2" s="1"/>
  <c r="B348" i="2"/>
  <c r="G348" i="2" s="1"/>
  <c r="I348" i="2" s="1"/>
  <c r="D47" i="6"/>
  <c r="E47" i="6" s="1"/>
  <c r="B30" i="4"/>
  <c r="B39" i="4"/>
  <c r="G39" i="4" s="1"/>
  <c r="I39" i="4" s="1"/>
  <c r="B102" i="4"/>
  <c r="G102" i="4" s="1"/>
  <c r="I102" i="4" s="1"/>
  <c r="B42" i="4"/>
  <c r="H42" i="4" s="1"/>
  <c r="I42" i="4" s="1"/>
  <c r="B52" i="4"/>
  <c r="B38" i="4"/>
  <c r="G38" i="4" s="1"/>
  <c r="I38" i="4" s="1"/>
  <c r="H96" i="5"/>
  <c r="H100" i="5" s="1"/>
  <c r="E100" i="5"/>
  <c r="B24" i="1" s="1"/>
  <c r="D24" i="1" s="1"/>
  <c r="E24" i="1" s="1"/>
  <c r="D51" i="6"/>
  <c r="E51" i="6" s="1"/>
  <c r="B62" i="3"/>
  <c r="B67" i="3" s="1"/>
  <c r="B60" i="3"/>
  <c r="B307" i="2"/>
  <c r="B306" i="2"/>
  <c r="C51" i="1" s="1"/>
  <c r="B31" i="4" l="1"/>
  <c r="B34" i="4" s="1"/>
  <c r="G34" i="4" s="1"/>
  <c r="B315" i="2"/>
  <c r="G315" i="2" s="1"/>
  <c r="I315" i="2" s="1"/>
  <c r="D24" i="6"/>
  <c r="E24" i="6" s="1"/>
  <c r="B93" i="4"/>
  <c r="G93" i="4" s="1"/>
  <c r="I93" i="4" s="1"/>
  <c r="B106" i="4"/>
  <c r="H106" i="4" s="1"/>
  <c r="I106" i="4" s="1"/>
  <c r="B11" i="5"/>
  <c r="B31" i="5" s="1"/>
  <c r="B352" i="2"/>
  <c r="G352" i="2" s="1"/>
  <c r="D42" i="6"/>
  <c r="E42" i="6" s="1"/>
  <c r="D15" i="6"/>
  <c r="E15" i="6" s="1"/>
  <c r="B123" i="2"/>
  <c r="D29" i="6"/>
  <c r="E29" i="6" s="1"/>
  <c r="B317" i="2"/>
  <c r="G317" i="2" s="1"/>
  <c r="I317" i="2" s="1"/>
  <c r="B290" i="2"/>
  <c r="D31" i="6" s="1"/>
  <c r="E31" i="6" s="1"/>
  <c r="C46" i="1"/>
  <c r="D70" i="6"/>
  <c r="E70" i="6" s="1"/>
  <c r="B90" i="3"/>
  <c r="G90" i="3" s="1"/>
  <c r="I90" i="3" s="1"/>
  <c r="I40" i="4"/>
  <c r="H43" i="4"/>
  <c r="H112" i="4" s="1"/>
  <c r="B111" i="2"/>
  <c r="G43" i="4"/>
  <c r="G112" i="4" s="1"/>
  <c r="I34" i="4"/>
  <c r="I43" i="4" s="1"/>
  <c r="B92" i="4"/>
  <c r="H92" i="4" s="1"/>
  <c r="B88" i="4"/>
  <c r="G88" i="4" s="1"/>
  <c r="B91" i="4"/>
  <c r="G91" i="4" s="1"/>
  <c r="I91" i="4" s="1"/>
  <c r="B53" i="4"/>
  <c r="B89" i="4" s="1"/>
  <c r="G89" i="4" s="1"/>
  <c r="I89" i="4" s="1"/>
  <c r="B90" i="4"/>
  <c r="G90" i="4" s="1"/>
  <c r="I90" i="4" s="1"/>
  <c r="D58" i="6"/>
  <c r="E58" i="6" s="1"/>
  <c r="B81" i="3"/>
  <c r="G81" i="3" s="1"/>
  <c r="B50" i="1"/>
  <c r="D71" i="6"/>
  <c r="E71" i="6" s="1"/>
  <c r="B93" i="3"/>
  <c r="G93" i="3" s="1"/>
  <c r="I93" i="3" s="1"/>
  <c r="C42" i="1"/>
  <c r="D46" i="6"/>
  <c r="E46" i="6" s="1"/>
  <c r="B347" i="2"/>
  <c r="G347" i="2" s="1"/>
  <c r="B280" i="2"/>
  <c r="D23" i="6" s="1"/>
  <c r="E23" i="6" s="1"/>
  <c r="B87" i="3"/>
  <c r="G87" i="3" s="1"/>
  <c r="I87" i="3" s="1"/>
  <c r="D54" i="6"/>
  <c r="E54" i="6" s="1"/>
  <c r="B97" i="3"/>
  <c r="H97" i="3" s="1"/>
  <c r="I97" i="3" s="1"/>
  <c r="B72" i="3"/>
  <c r="B47" i="1"/>
  <c r="D65" i="6"/>
  <c r="E65" i="6" s="1"/>
  <c r="B73" i="3"/>
  <c r="B91" i="3"/>
  <c r="G91" i="3" s="1"/>
  <c r="I91" i="3" s="1"/>
  <c r="B96" i="3"/>
  <c r="H96" i="3" s="1"/>
  <c r="B95" i="3"/>
  <c r="G95" i="3" s="1"/>
  <c r="I95" i="3" s="1"/>
  <c r="B279" i="2"/>
  <c r="D22" i="6" s="1"/>
  <c r="E22" i="6" s="1"/>
  <c r="B64" i="3"/>
  <c r="D56" i="6"/>
  <c r="E56" i="6" s="1"/>
  <c r="B92" i="3"/>
  <c r="G92" i="3" s="1"/>
  <c r="I92" i="3" s="1"/>
  <c r="B75" i="3"/>
  <c r="I96" i="3" l="1"/>
  <c r="C44" i="1"/>
  <c r="B301" i="2"/>
  <c r="D41" i="6"/>
  <c r="E41" i="6" s="1"/>
  <c r="C8" i="2"/>
  <c r="B299" i="2"/>
  <c r="B10" i="5"/>
  <c r="B361" i="2"/>
  <c r="H361" i="2" s="1"/>
  <c r="D16" i="6"/>
  <c r="E16" i="6" s="1"/>
  <c r="B328" i="2"/>
  <c r="B300" i="2"/>
  <c r="B70" i="3"/>
  <c r="B69" i="3"/>
  <c r="D59" i="6"/>
  <c r="E59" i="6" s="1"/>
  <c r="I81" i="3"/>
  <c r="D67" i="6"/>
  <c r="E67" i="6" s="1"/>
  <c r="B99" i="3"/>
  <c r="H99" i="3" s="1"/>
  <c r="I99" i="3" s="1"/>
  <c r="B89" i="3"/>
  <c r="G89" i="3" s="1"/>
  <c r="I89" i="3" s="1"/>
  <c r="I352" i="2"/>
  <c r="B98" i="3"/>
  <c r="H98" i="3" s="1"/>
  <c r="I98" i="3" s="1"/>
  <c r="D66" i="6"/>
  <c r="E66" i="6" s="1"/>
  <c r="B74" i="3"/>
  <c r="B88" i="3"/>
  <c r="G88" i="3" s="1"/>
  <c r="I88" i="3" s="1"/>
  <c r="I88" i="4"/>
  <c r="G108" i="4"/>
  <c r="G113" i="4" s="1"/>
  <c r="H108" i="4"/>
  <c r="H113" i="4" s="1"/>
  <c r="H114" i="4" s="1"/>
  <c r="I92" i="4"/>
  <c r="G31" i="5"/>
  <c r="G38" i="5" s="1"/>
  <c r="E31" i="5"/>
  <c r="I112" i="4"/>
  <c r="B14" i="1"/>
  <c r="G115" i="4"/>
  <c r="B112" i="2"/>
  <c r="B284" i="2"/>
  <c r="B285" i="2" s="1"/>
  <c r="B296" i="2"/>
  <c r="B292" i="2"/>
  <c r="B291" i="2"/>
  <c r="D69" i="6"/>
  <c r="E69" i="6" s="1"/>
  <c r="B51" i="1"/>
  <c r="G349" i="2"/>
  <c r="I347" i="2"/>
  <c r="I349" i="2" s="1"/>
  <c r="C14" i="1"/>
  <c r="H115" i="4"/>
  <c r="D18" i="6" l="1"/>
  <c r="E18" i="6" s="1"/>
  <c r="B334" i="2"/>
  <c r="G334" i="2" s="1"/>
  <c r="I334" i="2" s="1"/>
  <c r="D34" i="6"/>
  <c r="E34" i="6" s="1"/>
  <c r="B319" i="2"/>
  <c r="G319" i="2" s="1"/>
  <c r="I319" i="2" s="1"/>
  <c r="H31" i="5"/>
  <c r="H38" i="5" s="1"/>
  <c r="E38" i="5"/>
  <c r="B83" i="3"/>
  <c r="G83" i="3" s="1"/>
  <c r="D60" i="6"/>
  <c r="E60" i="6" s="1"/>
  <c r="B329" i="2"/>
  <c r="G329" i="2" s="1"/>
  <c r="I329" i="2" s="1"/>
  <c r="G328" i="2"/>
  <c r="B343" i="2"/>
  <c r="G343" i="2" s="1"/>
  <c r="D36" i="6"/>
  <c r="E36" i="6" s="1"/>
  <c r="B320" i="2"/>
  <c r="G320" i="2" s="1"/>
  <c r="I320" i="2" s="1"/>
  <c r="D35" i="6"/>
  <c r="E35" i="6" s="1"/>
  <c r="B333" i="2"/>
  <c r="G333" i="2" s="1"/>
  <c r="D17" i="6"/>
  <c r="E17" i="6" s="1"/>
  <c r="B302" i="2"/>
  <c r="B362" i="2"/>
  <c r="H362" i="2" s="1"/>
  <c r="I362" i="2" s="1"/>
  <c r="B367" i="2"/>
  <c r="H367" i="2" s="1"/>
  <c r="I367" i="2" s="1"/>
  <c r="D19" i="6"/>
  <c r="E19" i="6" s="1"/>
  <c r="B335" i="2"/>
  <c r="G335" i="2" s="1"/>
  <c r="I335" i="2" s="1"/>
  <c r="I113" i="4"/>
  <c r="G114" i="4"/>
  <c r="I114" i="4" s="1"/>
  <c r="I361" i="2"/>
  <c r="I368" i="2" s="1"/>
  <c r="H368" i="2"/>
  <c r="H370" i="2" s="1"/>
  <c r="C15" i="1" s="1"/>
  <c r="D43" i="6"/>
  <c r="E43" i="6" s="1"/>
  <c r="B353" i="2"/>
  <c r="G353" i="2" s="1"/>
  <c r="B278" i="2"/>
  <c r="B293" i="2"/>
  <c r="I115" i="4"/>
  <c r="D14" i="1"/>
  <c r="H101" i="3"/>
  <c r="H103" i="3" s="1"/>
  <c r="C16" i="1" s="1"/>
  <c r="C18" i="1"/>
  <c r="D63" i="6"/>
  <c r="E63" i="6" s="1"/>
  <c r="D62" i="6"/>
  <c r="E62" i="6" s="1"/>
  <c r="B85" i="3"/>
  <c r="G85" i="3" s="1"/>
  <c r="I85" i="3" s="1"/>
  <c r="B84" i="3"/>
  <c r="G84" i="3" s="1"/>
  <c r="I84" i="3" s="1"/>
  <c r="I108" i="4"/>
  <c r="D68" i="6"/>
  <c r="E68" i="6" s="1"/>
  <c r="B46" i="1"/>
  <c r="B104" i="5"/>
  <c r="B112" i="5"/>
  <c r="B286" i="2"/>
  <c r="B314" i="2"/>
  <c r="G314" i="2" s="1"/>
  <c r="B116" i="4"/>
  <c r="B53" i="1"/>
  <c r="I314" i="2" l="1"/>
  <c r="B18" i="1"/>
  <c r="D18" i="1" s="1"/>
  <c r="E18" i="1" s="1"/>
  <c r="D26" i="6"/>
  <c r="E26" i="6" s="1"/>
  <c r="C49" i="1"/>
  <c r="C12" i="2"/>
  <c r="G104" i="5"/>
  <c r="G108" i="5" s="1"/>
  <c r="E104" i="5"/>
  <c r="I353" i="2"/>
  <c r="I356" i="2" s="1"/>
  <c r="G356" i="2"/>
  <c r="G344" i="2"/>
  <c r="I343" i="2"/>
  <c r="I344" i="2" s="1"/>
  <c r="I333" i="2"/>
  <c r="G330" i="2"/>
  <c r="I328" i="2"/>
  <c r="I330" i="2" s="1"/>
  <c r="B321" i="2"/>
  <c r="G321" i="2" s="1"/>
  <c r="I321" i="2" s="1"/>
  <c r="D37" i="6"/>
  <c r="E37" i="6" s="1"/>
  <c r="G112" i="5"/>
  <c r="G119" i="5" s="1"/>
  <c r="C26" i="1" s="1"/>
  <c r="E112" i="5"/>
  <c r="I83" i="3"/>
  <c r="I101" i="3" s="1"/>
  <c r="G101" i="3"/>
  <c r="G103" i="3" s="1"/>
  <c r="D21" i="6"/>
  <c r="E21" i="6" s="1"/>
  <c r="B282" i="2"/>
  <c r="B117" i="4"/>
  <c r="C53" i="1"/>
  <c r="E14" i="1"/>
  <c r="B9" i="2"/>
  <c r="B45" i="1"/>
  <c r="B303" i="2"/>
  <c r="D20" i="6"/>
  <c r="E20" i="6" s="1"/>
  <c r="D25" i="6" l="1"/>
  <c r="E25" i="6" s="1"/>
  <c r="B49" i="1"/>
  <c r="B12" i="2"/>
  <c r="B16" i="1"/>
  <c r="D16" i="1" s="1"/>
  <c r="E16" i="1" s="1"/>
  <c r="I103" i="3"/>
  <c r="I104" i="3" s="1"/>
  <c r="I105" i="3" s="1"/>
  <c r="B37" i="1" s="1"/>
  <c r="I325" i="2"/>
  <c r="H104" i="5"/>
  <c r="H108" i="5" s="1"/>
  <c r="E108" i="5"/>
  <c r="C25" i="1"/>
  <c r="C28" i="1" s="1"/>
  <c r="G129" i="5"/>
  <c r="E119" i="5"/>
  <c r="B26" i="1" s="1"/>
  <c r="D26" i="1" s="1"/>
  <c r="E26" i="1" s="1"/>
  <c r="H112" i="5"/>
  <c r="H119" i="5" s="1"/>
  <c r="B337" i="2"/>
  <c r="G337" i="2" s="1"/>
  <c r="I337" i="2" s="1"/>
  <c r="B336" i="2"/>
  <c r="G336" i="2" s="1"/>
  <c r="B11" i="2"/>
  <c r="B10" i="2"/>
  <c r="B48" i="1"/>
  <c r="B339" i="2"/>
  <c r="G339" i="2" s="1"/>
  <c r="I339" i="2" s="1"/>
  <c r="B338" i="2"/>
  <c r="G338" i="2" s="1"/>
  <c r="I338" i="2" s="1"/>
  <c r="C45" i="1"/>
  <c r="G325" i="2"/>
  <c r="B25" i="1" l="1"/>
  <c r="D25" i="1" s="1"/>
  <c r="E25" i="1" s="1"/>
  <c r="E129" i="5"/>
  <c r="C32" i="1"/>
  <c r="C29" i="1"/>
  <c r="I336" i="2"/>
  <c r="I340" i="2" s="1"/>
  <c r="G340" i="2"/>
  <c r="G370" i="2" s="1"/>
  <c r="H129" i="5"/>
  <c r="I370" i="2" l="1"/>
  <c r="B15" i="1"/>
  <c r="D15" i="1" l="1"/>
  <c r="B28" i="1"/>
  <c r="B13" i="2"/>
  <c r="I371" i="2"/>
  <c r="I374" i="2" l="1"/>
  <c r="I372" i="2"/>
  <c r="C36" i="1" s="1"/>
  <c r="I373" i="2"/>
  <c r="B36" i="1" s="1"/>
  <c r="B29" i="1"/>
  <c r="B32" i="1"/>
  <c r="D30" i="1"/>
  <c r="E30" i="1" s="1"/>
  <c r="E15" i="1"/>
  <c r="D28" i="1"/>
  <c r="D29" i="1" l="1"/>
  <c r="E29" i="1" s="1"/>
  <c r="E28" i="1"/>
  <c r="D31" i="1"/>
  <c r="E31" i="1" s="1"/>
  <c r="D32" i="1"/>
  <c r="B35" i="1" l="1"/>
  <c r="F19" i="1"/>
  <c r="F32" i="1"/>
  <c r="F28" i="1"/>
  <c r="E32" i="1"/>
  <c r="F15" i="1"/>
  <c r="F30" i="1"/>
  <c r="F21" i="1"/>
  <c r="F29" i="1"/>
  <c r="F24" i="1"/>
  <c r="F25" i="1"/>
  <c r="F17" i="1"/>
  <c r="F20" i="1"/>
  <c r="B34" i="1"/>
  <c r="B33" i="1"/>
  <c r="F23" i="1"/>
  <c r="F31" i="1"/>
  <c r="F16" i="1"/>
  <c r="F27" i="1"/>
  <c r="F22" i="1"/>
  <c r="F14" i="1"/>
  <c r="F26" i="1"/>
  <c r="F18" i="1"/>
</calcChain>
</file>

<file path=xl/sharedStrings.xml><?xml version="1.0" encoding="utf-8"?>
<sst xmlns="http://schemas.openxmlformats.org/spreadsheetml/2006/main" count="2256" uniqueCount="1133">
  <si>
    <t>House estimate — cellular-concrete wall panels, cast roof, complete house</t>
  </si>
  <si>
    <t>Cellular concrete wall panels, 4' x 10' — 40' x 28' house, shed roof to the view · 34 wall panels 4' wide on 600S162-54 studs · 3 roof strips on 800S162-68 studs · 2 bed · 2 bath open plan · generated 2026-09-06</t>
  </si>
  <si>
    <t>Walls →</t>
  </si>
  <si>
    <t>Roof →</t>
  </si>
  <si>
    <t>Floor options →</t>
  </si>
  <si>
    <t>Everything else →</t>
  </si>
  <si>
    <t>Model takeoff →</t>
  </si>
  <si>
    <t>Notes →</t>
  </si>
  <si>
    <t>Choices — pick from the lists (yellow); the whole workbook follows</t>
  </si>
  <si>
    <t>Roof design</t>
  </si>
  <si>
    <t>shed</t>
  </si>
  <si>
    <t>shed = Shed roof to the view (Option 3): 12'-6" wall A, clerestory band, 1"/ft slope · flat = Flat roof, 10' walls (Option 1): 10' walls, no clerestory, 1/16"/ft slope in the top pour</t>
  </si>
  <si>
    <t>Foundation</t>
  </si>
  <si>
    <t>A</t>
  </si>
  <si>
    <t>A = slab on grade with a thickened edge · B = strip footings + a cellular-concrete floor panel (see Floor options)</t>
  </si>
  <si>
    <t>Contingency (one % on the subtotal)</t>
  </si>
  <si>
    <t>applied once, to the materials + labor subtotal of every section</t>
  </si>
  <si>
    <t>Floor area inside (plan rooms)</t>
  </si>
  <si>
    <t>docs/floor-plan.json rooms: Living 270, Dining 120, Kitchen 181, Bedroom 1 169, Walk-in closet 42, Bath 1 49, Hall 39, Bath 2 48, Laundry 30, Bedroom 2 118 sf</t>
  </si>
  <si>
    <t>Heating / cooling option and the ERV add-on are picked on the Everything else tab (HEATING block).</t>
  </si>
  <si>
    <t>Cost by section (before contingency; green = linked to the tabs)</t>
  </si>
  <si>
    <t>Section</t>
  </si>
  <si>
    <t>Materials</t>
  </si>
  <si>
    <t>Labor</t>
  </si>
  <si>
    <t>Total</t>
  </si>
  <si>
    <t>$/sf of floor</t>
  </si>
  <si>
    <t>% of total</t>
  </si>
  <si>
    <t>Basis</t>
  </si>
  <si>
    <t>Foundation (per the selector)</t>
  </si>
  <si>
    <t>A: slab on grade + thickened edge · B: strip footings + floor panel (Floor options tab)</t>
  </si>
  <si>
    <t>Walls</t>
  </si>
  <si>
    <t>steel, mesh, cellular concrete, spacers, bed, MEP rough-in allowance, wall labor (Walls tab)</t>
  </si>
  <si>
    <t>Roof (per the design)</t>
  </si>
  <si>
    <t>strips, ground + top pour, rake infill and clerestory glazing (shed only), crane day, Eco Finish, roof labor (Roof tab)</t>
  </si>
  <si>
    <t>Plumbing</t>
  </si>
  <si>
    <t>plumbing</t>
  </si>
  <si>
    <t>Electrical</t>
  </si>
  <si>
    <t>electrical</t>
  </si>
  <si>
    <t>Light fixtures</t>
  </si>
  <si>
    <t>light fixtures</t>
  </si>
  <si>
    <t>Heating/cooling</t>
  </si>
  <si>
    <t>selected option + the ERV add-on (Everything else tab, HEATING block)</t>
  </si>
  <si>
    <t>Kitchen</t>
  </si>
  <si>
    <t>kitchen</t>
  </si>
  <si>
    <t>Bathrooms</t>
  </si>
  <si>
    <t>bathrooms (beyond the plumbing fixtures)</t>
  </si>
  <si>
    <t>Flooring</t>
  </si>
  <si>
    <t>slab prep becomes the floor-panel finish under Foundation B (note only)</t>
  </si>
  <si>
    <t>Doors and windows</t>
  </si>
  <si>
    <t>clerestory windows count only for the shed design</t>
  </si>
  <si>
    <t>Interior finish</t>
  </si>
  <si>
    <t>interior finish</t>
  </si>
  <si>
    <t>Exterior and site</t>
  </si>
  <si>
    <t>walls carry NO exterior finish line ($0 until chosen); utilities allowance; forklift days; septic system excluded</t>
  </si>
  <si>
    <t>Soft costs</t>
  </si>
  <si>
    <t>soft costs</t>
  </si>
  <si>
    <t>Subtotal, materials + labor</t>
  </si>
  <si>
    <t>Contingency</t>
  </si>
  <si>
    <t>the one % at the top of this tab</t>
  </si>
  <si>
    <t>Panel manufacturing margin on the wall + roof panels</t>
  </si>
  <si>
    <t>yellow % × the wall and roof sections (with their contingency): what the panel business earns on the panels it builds</t>
  </si>
  <si>
    <t>Builder overhead and profit on the whole house</t>
  </si>
  <si>
    <t>yellow %, 0 by default: general-contractor markup on everything above (costs + contingency + panel margin)</t>
  </si>
  <si>
    <t>GRAND TOTAL</t>
  </si>
  <si>
    <t>materials + labor columns are cost with contingency; the Total adds the panel margin and builder O&amp;P</t>
  </si>
  <si>
    <t>Grand total per sf of floor (inside, plan rooms)</t>
  </si>
  <si>
    <t>inside area from docs/floor-plan.json</t>
  </si>
  <si>
    <t>Grand total per sf of floor (outside of walls)</t>
  </si>
  <si>
    <t>footprint area from the Floor options tab</t>
  </si>
  <si>
    <t>Grand total per sf of wall (gross)</t>
  </si>
  <si>
    <t>gross wall area from the Walls tab</t>
  </si>
  <si>
    <t>Walls only per sf of wall (gross, with contingency)</t>
  </si>
  <si>
    <t>the wall panels alone; per panel in column C</t>
  </si>
  <si>
    <t>Roof only per sf of roof (with contingency)</t>
  </si>
  <si>
    <t>Key quantities (green = linked)</t>
  </si>
  <si>
    <t>Panels</t>
  </si>
  <si>
    <t>A 10 + B 7 + C 10 + D 7; shed model: 21 solid, 1 door, 12 window, 10 carry the clerestory band</t>
  </si>
  <si>
    <t>Wall A height (per the design)</t>
  </si>
  <si>
    <t>shed 150" / flat 120"; walls B, C, D are 120"</t>
  </si>
  <si>
    <t>Clerestory openings</t>
  </si>
  <si>
    <t>shed: every wall-A panel; flat: 0</t>
  </si>
  <si>
    <t>Footprint</t>
  </si>
  <si>
    <t>X × Z, outside of walls</t>
  </si>
  <si>
    <t>Wall area, gross / net of openings</t>
  </si>
  <si>
    <t>doors, windows and clerestories out of the net figure</t>
  </si>
  <si>
    <t>Cellular concrete, walls, neat / to order</t>
  </si>
  <si>
    <t>skin pour + cladding + cavity fill; to order with waste</t>
  </si>
  <si>
    <t>Cellular concrete, roof, neat</t>
  </si>
  <si>
    <t>ground pour + top pour (incl. the flat build-up); rake infill in column C</t>
  </si>
  <si>
    <t>Roof area (on the slope)</t>
  </si>
  <si>
    <t>3 strips; slope factor in column C</t>
  </si>
  <si>
    <t>Portland cement on site (walls + roof + rake)</t>
  </si>
  <si>
    <t>at the lb/yd³ on the Walls tab, all with waste</t>
  </si>
  <si>
    <t>Stud pieces / length (walls)</t>
  </si>
  <si>
    <t>600S162-54: full studs + jambs + cripples</t>
  </si>
  <si>
    <t>Roof studs</t>
  </si>
  <si>
    <t>800S162-68</t>
  </si>
  <si>
    <t>Heaviest roof pick / panel weight at set</t>
  </si>
  <si>
    <t>one strip at the ground pour (crane); tallest wall panel at set in column C (forklift boom)</t>
  </si>
  <si>
    <t>Casting cycles</t>
  </si>
  <si>
    <t>4-slot bed</t>
  </si>
  <si>
    <t>Floor options A / B (before contingency)</t>
  </si>
  <si>
    <t>slab on grade / footings + floor panel — the selector above picks one</t>
  </si>
  <si>
    <t>Basis and exclusions</t>
  </si>
  <si>
    <t>Basis: cellular concrete at Ken's $200/yd³ cement + $20/yd³ foam (600 lb Portland/yd³, roof v6 sheet) for the walls, the roof and the Option B floor panel; ready-mix for the slab/footings at a placeholder $160/yd³. Steel at the US Frame Factory published list (May 2025; the 8" roof stud at the 6" 68-mil rate as a proxy) pending a quote. Every other price and every labor figure (hours × one loaded rate on the Walls tab) is a placeholder typed on 2026-09-06 for order-of-magnitude only — none is a quote. Walls carry NO exterior finish (Ken, 6 Sep 2026; $0 line on Everything else); the roof carries Eco Finish at $8/sf.</t>
  </si>
  <si>
    <t>Selectors: Roof design (shed / flat) switches wall A height, the clerestory band, slope, front overhang, rake infill, clerestory glazing and the clerestory windows through the Roof tab. Foundation (A / B) picks the Floor options column. Heating (A / B / C) and the ERV (yes / no) are on the Everything else tab. Contingency is applied once, here.</t>
  </si>
  <si>
    <t>Excluded: septic system, land, furniture, landscaping, appliances beyond the listed ones (refrigerator, range, dishwasher, microwave, washer + dryer), concrete pump rental, freight, sales tax, financing. The exterior wall finish is carried at $0 until chosen.</t>
  </si>
  <si>
    <t>Green numbers link to the tabs; change inputs and prices there. Blue = inputs, yellow = prices / assumptions / selectors, black = formulas.</t>
  </si>
  <si>
    <t>Walls — cellular-concrete wall panels: inputs, quantities and cost</t>
  </si>
  <si>
    <t>Cellular concrete wall panels, 4' x 10' — 40' x 28' house, shed roof to the view · 34 panels on 600S162-54 studs, cast flat, stood, screwed, pumped full · wall A height and the clerestory band follow the Summary roof-design selector through the Roof tab · generated 2026-09-06</t>
  </si>
  <si>
    <t>BLUE = building/panel/mix inputs (they mirror wall.config.json); YELLOW = unit prices and assumptions — replace with quotes; GREEN = linked from another tab; everything else is a formula.</t>
  </si>
  <si>
    <t>← Summary</t>
  </si>
  <si>
    <t>Key figures (walls)</t>
  </si>
  <si>
    <t>A + B + C + D</t>
  </si>
  <si>
    <t>the 10 front-wall panels; the others are the panel height</t>
  </si>
  <si>
    <t>Wall area, gross / net</t>
  </si>
  <si>
    <t>net of doors, windows and clerestories in column C</t>
  </si>
  <si>
    <t>Cellular concrete, walls, neat volume</t>
  </si>
  <si>
    <t>skin pour + cladding + cavity fill, no waste</t>
  </si>
  <si>
    <t>Cellular concrete, walls, to order</t>
  </si>
  <si>
    <t>with the waste % below</t>
  </si>
  <si>
    <t>Portland cement on site (walls)</t>
  </si>
  <si>
    <t>at the lb/yd³ input</t>
  </si>
  <si>
    <t>Stud pieces (walls)</t>
  </si>
  <si>
    <t>full studs + jambs + cripples</t>
  </si>
  <si>
    <t>Walls total (materials + labor, before contingency)</t>
  </si>
  <si>
    <t>concrete at Ken's $/yd³; steel at list; other prices and all labor are placeholders</t>
  </si>
  <si>
    <t>Building &amp; panel inputs (from wall.config.json)</t>
  </si>
  <si>
    <t>Panels along X (walls A and C, each)</t>
  </si>
  <si>
    <t>ea</t>
  </si>
  <si>
    <t>wall A runs along +X at the front (the view), C at the back</t>
  </si>
  <si>
    <t>Panels along Z (walls B and D, each)</t>
  </si>
  <si>
    <t>B and D fit between A and C</t>
  </si>
  <si>
    <t>Panel width</t>
  </si>
  <si>
    <t>in</t>
  </si>
  <si>
    <t>4'</t>
  </si>
  <si>
    <t>Panel height (walls B, C, D)</t>
  </si>
  <si>
    <t>10' for a 9' ceiling; studs run this way; config panel.height</t>
  </si>
  <si>
    <t>Wall A height (per the roof design)</t>
  </si>
  <si>
    <t>linked to the Roof tab: 150 for the shed design, 120 for flat; the 10 wall-A panels are cast this tall</t>
  </si>
  <si>
    <t>Clerestory band active (1 = shed design, 0 = flat)</t>
  </si>
  <si>
    <t>linked to the Roof tab (Summary selector); zeroes every clerestory quantity for the flat design</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</si>
  <si>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</si>
  <si>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</si>
  <si>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</si>
  <si>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</si>
  <si>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</si>
  <si>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</si>
  <si>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</si>
  <si>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</si>
  <si>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</si>
  <si>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</si>
  <si>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</si>
  <si>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</si>
  <si>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</si>
  <si>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</si>
  <si>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</si>
  <si>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</si>
  <si>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</si>
  <si>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</si>
  <si>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</si>
  <si>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</si>
  <si>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</si>
  <si>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</si>
  <si>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</si>
  <si>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</si>
  <si>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</si>
  <si>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Slab anchors per panel</t>
  </si>
  <si>
    <t>0.5" dia. through the bottom track; spec is an open item</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</si>
  <si>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</si>
  <si>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</si>
  <si>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</si>
  <si>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</si>
  <si>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</si>
  <si>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</si>
  <si>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[3, 5]; drain to the top (or the sill of a window over it), supplies to 40 % of the height</t>
  </si>
  <si>
    <t>Bed slots (panels per casting cycle)</t>
  </si>
  <si>
    <t>one reusable bed, slots sized for the tallest panel</t>
  </si>
  <si>
    <t>Openings (from wall.config.json; door/window centred in the width, plus the clerestory band on every wall-A panel in the shed design)</t>
  </si>
  <si>
    <t>Clerestory band (roof.clerestory) on wall A: panels</t>
  </si>
  <si>
    <t>shed: every wall-A panel carries one above its door/window (= panels along that wall); flat: 0</t>
  </si>
  <si>
    <t xml:space="preserve">   clerestory width</t>
  </si>
  <si>
    <t xml:space="preserve">   clerestory height</t>
  </si>
  <si>
    <t xml:space="preserve">   clerestory sill height</t>
  </si>
  <si>
    <t>above the 10' line; sill + height must fit the wall A height (audit)</t>
  </si>
  <si>
    <t>Door + clerestory panels: count</t>
  </si>
  <si>
    <t>door 36x84 + clerestory 40x24 sill 120 at panels A1 (HA tall) — shed design only (× the clerestory flag)</t>
  </si>
  <si>
    <t xml:space="preserve">   door width</t>
  </si>
  <si>
    <t xml:space="preserve">   door height</t>
  </si>
  <si>
    <t xml:space="preserve">   door sill height</t>
  </si>
  <si>
    <t>0 for a door (no sill piece, no cripples below)</t>
  </si>
  <si>
    <t>Window + clerestory panels: count</t>
  </si>
  <si>
    <t>window 40x72 sill 24 + clerestory 40x24 sill 120 at panels A2, A3, A4, A5, A6, A7, A8 (HA tall) — shed design only (× the clerestory flag)</t>
  </si>
  <si>
    <t xml:space="preserve">   window width</t>
  </si>
  <si>
    <t xml:space="preserve">   window height</t>
  </si>
  <si>
    <t xml:space="preserve">   window sill height</t>
  </si>
  <si>
    <t>Window panels: count</t>
  </si>
  <si>
    <t>window 36x42 sill 42 at panels B1 (H tall) — both designs</t>
  </si>
  <si>
    <t>window 36x48 sill 36 at panels C1, C8, D2 (H tall) — both designs</t>
  </si>
  <si>
    <t>window 24x24 sill 60 at panels C5 (H tall) — both designs</t>
  </si>
  <si>
    <t>Door panels: count</t>
  </si>
  <si>
    <t>door 36x84 at panels A1 (HA tall) — flat design only (× 1 − the clerestory flag)</t>
  </si>
  <si>
    <t>window 40x72 sill 24 at panels A2, A3, A4, A5, A6, A7, A8 (HA tall) — flat design only (× 1 − the clerestory flag)</t>
  </si>
  <si>
    <t>Solid + clerestory panels: count</t>
  </si>
  <si>
    <t>clerestory 40x24 sill 120 at panels A0, A9 (HA tall) — shed design only: wall A panels less the door/window panels, × the clerestory flag</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</si>
  <si>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</si>
  <si>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</si>
  <si>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</si>
  <si>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</si>
  <si>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</si>
  <si>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</si>
  <si>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</si>
  <si>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</si>
  <si>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</si>
  <si>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</si>
  <si>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</si>
  <si>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</si>
  <si>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</si>
  <si>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</si>
  <si>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</si>
  <si>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</si>
  <si>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</si>
  <si>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</si>
  <si>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</si>
  <si>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</si>
  <si>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</si>
  <si>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Mesh roll coverage</t>
  </si>
  <si>
    <t>sf/roll</t>
  </si>
  <si>
    <t>e.g. 3.3' × 164' roll; change to your supplier's roll</t>
  </si>
  <si>
    <t>Steel cut waste (track, channel, cripples)</t>
  </si>
  <si>
    <t>offcuts when 4' pieces and short cripples come out of stock sticks</t>
  </si>
  <si>
    <t>Stud stock length</t>
  </si>
  <si>
    <t>ft</t>
  </si>
  <si>
    <t>full studs and jambs are exactly the panel height (10' or 12'-6"); order cut-to-length</t>
  </si>
  <si>
    <t>Track stock length</t>
  </si>
  <si>
    <t>Channel stock length</t>
  </si>
  <si>
    <t>CRC is sold in 10 ft and 16 ft pieces</t>
  </si>
  <si>
    <t>Contingency (one % for the whole house)</t>
  </si>
  <si>
    <t>linked to the Summary — change it there</t>
  </si>
  <si>
    <t>Labor assumptions (placeholders — set your crew rate and productivity)</t>
  </si>
  <si>
    <t>Loaded labor rate</t>
  </si>
  <si>
    <t>$/man-hour</t>
  </si>
  <si>
    <t>wages + burden; one rate for every labor line in the workbook (walls, roof, floor, everything else)</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</si>
  <si>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</si>
  <si>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</si>
  <si>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</si>
  <si>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</si>
  <si>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</si>
  <si>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</si>
  <si>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</si>
  <si>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</si>
  <si>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</si>
  <si>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</si>
  <si>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</si>
  <si>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</si>
  <si>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</si>
  <si>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</si>
  <si>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forklift-boom lift; equipment rental is on the Everything else tab (Exterior and site)</t>
  </si>
  <si>
    <t>Slab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</si>
  <si>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</si>
  <si>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</si>
  <si>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</si>
  <si>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</si>
  <si>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</si>
  <si>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see the Model takeoff tab)</t>
  </si>
  <si>
    <t>Panels at H (walls BCD)</t>
  </si>
  <si>
    <t>Panels at HA (walls A)</t>
  </si>
  <si>
    <t>Panels with an opening (door, window or clerestory)</t>
  </si>
  <si>
    <t>Solid panels at H</t>
  </si>
  <si>
    <t>no opening at all</t>
  </si>
  <si>
    <t>Solid panels at HA</t>
  </si>
  <si>
    <t>Solid panels</t>
  </si>
  <si>
    <t>Tallest panel</t>
  </si>
  <si>
    <t>sizes the bed slot (liner, edge forms) and the heaviest wall pick</t>
  </si>
  <si>
    <t>Wall thickness</t>
  </si>
  <si>
    <t>contract: 2 + 1.5 + 6 + 2 = 11.5</t>
  </si>
  <si>
    <t>Cavity fill depth</t>
  </si>
  <si>
    <t>stud zone left after the skin pour</t>
  </si>
  <si>
    <t>Footprint X</t>
  </si>
  <si>
    <t>Footprint Z</t>
  </si>
  <si>
    <t>B/D panels fit between A and C</t>
  </si>
  <si>
    <t>Perimeter (top track)</t>
  </si>
  <si>
    <t>lf</t>
  </si>
  <si>
    <t>outer footprint</t>
  </si>
  <si>
    <t>Panel face area (standard panel)</t>
  </si>
  <si>
    <t>sf</t>
  </si>
  <si>
    <t>Bed slot area (tallest panel)</t>
  </si>
  <si>
    <t>Gross wall area</t>
  </si>
  <si>
    <t>panels at each height × width × height</t>
  </si>
  <si>
    <t>Opening area (doors, windows, clerestories)</t>
  </si>
  <si>
    <t>Net wall area (concrete, mesh)</t>
  </si>
  <si>
    <t>Regular studs per panel (at 0, spacing, 2×spacing …)</t>
  </si>
  <si>
    <t>last regular stud must sit inside the far edge by a flange</t>
  </si>
  <si>
    <t>Studs per solid panel</t>
  </si>
  <si>
    <t>regular studs plus the closing edge stud (matches the model)</t>
  </si>
  <si>
    <t>Channel rows per panel at H</t>
  </si>
  <si>
    <t>rows from the first station at row spacing, plus a closing row at the far end (matches the model)</t>
  </si>
  <si>
    <t>Channel rows per panel at HA</t>
  </si>
  <si>
    <t>door 36x84 + clerestory 40x24 sill 120 panels (HA tall, 1 of them — shed design only)</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</si>
  <si>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</si>
  <si>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</si>
  <si>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</si>
  <si>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</si>
  <si>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</si>
  <si>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</si>
  <si>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</si>
  <si>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</si>
  <si>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</si>
  <si>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clerestory: studs interrupted by the opening</t>
  </si>
  <si>
    <t xml:space="preserve">   clerestory: cripple above the head (1/0)</t>
  </si>
  <si>
    <t xml:space="preserve">   clerestory: cripple below the sill (1/0)</t>
  </si>
  <si>
    <t xml:space="preserve">   clerestory: channel rows crossing the opening</t>
  </si>
  <si>
    <t xml:space="preserve">   clerestory: rows exactly on the sill / head (still cross the cripple ending there)</t>
  </si>
  <si>
    <t xml:space="preserve">   gap between the head and the clerestory sill (1/0)</t>
  </si>
  <si>
    <t>a cripple runs between the two openings when the sill is above the head</t>
  </si>
  <si>
    <t xml:space="preserve">   studs crossing both openings</t>
  </si>
  <si>
    <t>openings are centred, so the narrower one's studs are a subset of the wider one's</t>
  </si>
  <si>
    <t xml:space="preserve">   studs interrupted (either opening)</t>
  </si>
  <si>
    <t xml:space="preserve">   cripples per panel</t>
  </si>
  <si>
    <t>below the sill, between the openings, above the clerestory head</t>
  </si>
  <si>
    <t xml:space="preserve">   cripple length per panel</t>
  </si>
  <si>
    <t>lf/panel</t>
  </si>
  <si>
    <t xml:space="preserve">   jamb studs per panel</t>
  </si>
  <si>
    <t>the two openings share jamb lines when they are the same width</t>
  </si>
  <si>
    <t xml:space="preserve">   header/sill pieces per panel</t>
  </si>
  <si>
    <t xml:space="preserve">   header/sill length per panel</t>
  </si>
  <si>
    <t>jamb to jamb</t>
  </si>
  <si>
    <t xml:space="preserve">   channel/stud crossings per panel</t>
  </si>
  <si>
    <t>full studs + jambs on every row; cripples only on rows outside the openings they end at</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</si>
  <si>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</si>
  <si>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</si>
  <si>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</si>
  <si>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</si>
  <si>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</si>
  <si>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window 40x72 sill 24 + clerestory 40x24 sill 120 panels (HA tall, 7 of them — shed design only)</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</si>
  <si>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</si>
  <si>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</si>
  <si>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</si>
  <si>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</si>
  <si>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</si>
  <si>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window 36x42 sill 42 panels (H tall, 1 of them — both designs)</t>
  </si>
  <si>
    <t xml:space="preserve">   studs interrupted</t>
  </si>
  <si>
    <t>below the sill + above the head</t>
  </si>
  <si>
    <t>full studs + 2 jambs on every row; cripples only on rows outside the opening</t>
  </si>
  <si>
    <t>window 36x48 sill 36 panels (H tall, 3 of them — both designs)</t>
  </si>
  <si>
    <t>window 24x24 sill 60 panels (H tall, 1 of them — both designs)</t>
  </si>
  <si>
    <t>door 36x84 panels (HA tall, 1 of them — flat design only)</t>
  </si>
  <si>
    <t>window 40x72 sill 24 panels (HA tall, 7 of them — flat design only)</t>
  </si>
  <si>
    <t>clerestory 40x24 sill 120 panels (HA tall, 2 of them — shed design only)</t>
  </si>
  <si>
    <t>Full-height studs</t>
  </si>
  <si>
    <t>solid panels × studs + opening panels × uninterrupted studs</t>
  </si>
  <si>
    <t>Jamb studs (full height)</t>
  </si>
  <si>
    <t>Cripple studs</t>
  </si>
  <si>
    <t>Cripple length</t>
  </si>
  <si>
    <t>Stud pieces</t>
  </si>
  <si>
    <t>Full-height stud + jamb pieces at H</t>
  </si>
  <si>
    <t>cut to H</t>
  </si>
  <si>
    <t>Full-height stud + jamb pieces at HA</t>
  </si>
  <si>
    <t>cut to HA</t>
  </si>
  <si>
    <t>Full-height stud + jamb length</t>
  </si>
  <si>
    <t>pieces at each height × that height</t>
  </si>
  <si>
    <t>Stud total length</t>
  </si>
  <si>
    <t>Header/sill pieces</t>
  </si>
  <si>
    <t>Header/sill length</t>
  </si>
  <si>
    <t>Panel track (bottom + top)</t>
  </si>
  <si>
    <t>2 pieces × panel width per panel</t>
  </si>
  <si>
    <t>Track total (panel + header/sill + top track)</t>
  </si>
  <si>
    <t>Channel length (less openings)</t>
  </si>
  <si>
    <t>Channel/stud crossings (= spacers)</t>
  </si>
  <si>
    <t>Stud segments (ends screwed to track)</t>
  </si>
  <si>
    <t>Door panels</t>
  </si>
  <si>
    <t>MEP boxes (outlets + switches)</t>
  </si>
  <si>
    <t>Conduit</t>
  </si>
  <si>
    <t>solid panels: box to the top; opening panels: per the group conduit line</t>
  </si>
  <si>
    <t>Drain / vent</t>
  </si>
  <si>
    <t>2 plumbing panel(s):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</si>
  <si>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</si>
  <si>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</si>
  <si>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</si>
  <si>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</si>
  <si>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</si>
  <si>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</si>
  <si>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</si>
  <si>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</si>
  <si>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</si>
  <si>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</si>
  <si>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</si>
  <si>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</si>
  <si>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</si>
  <si>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</si>
  <si>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</si>
  <si>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forklift boom</t>
  </si>
  <si>
    <t>Panel weight at set (tallest panel)</t>
  </si>
  <si>
    <t>the wall-A panels in the shed design</t>
  </si>
  <si>
    <t>Bed liner</t>
  </si>
  <si>
    <t>slots × slot area (no lap)</t>
  </si>
  <si>
    <t>Bed edge form</t>
  </si>
  <si>
    <t>around each slot</t>
  </si>
  <si>
    <t>cycles</t>
  </si>
  <si>
    <t>panels ÷ bed slots</t>
  </si>
  <si>
    <t>Materials &amp; labor — walls (Type = Material or Labor; the subtotals split by type)</t>
  </si>
  <si>
    <t>Item</t>
  </si>
  <si>
    <t>Qty</t>
  </si>
  <si>
    <t>Unit</t>
  </si>
  <si>
    <t>Type</t>
  </si>
  <si>
    <t>Spec / size</t>
  </si>
  <si>
    <t>Unit cost ($)</t>
  </si>
  <si>
    <t>Material ($)</t>
  </si>
  <si>
    <t>Labor ($)</t>
  </si>
  <si>
    <t>Total ($)</t>
  </si>
  <si>
    <t>Basis / notes</t>
  </si>
  <si>
    <t>STEEL (walls)</t>
  </si>
  <si>
    <t>Studs 600S162-54, full height + jambs</t>
  </si>
  <si>
    <t>Material</t>
  </si>
  <si>
    <t>6" web, 1.625" flange, 54 mil (16 ga) 50 ksi, cut to 10' / 12.5'</t>
  </si>
  <si>
    <t>$1.94/lf 600S162-54 — US Frame Factory published list, updated 5/1/2025 (usframefactory.com/current-metal-stud-pricing) — not a quote; = pieces × panel height per wall (106 studs + 32 jambs in the shed model)</t>
  </si>
  <si>
    <t>Studs 600S162-54, cripples</t>
  </si>
  <si>
    <t>short pieces above the heads, between the window and the clerestory, and below the sills, cut from stock</t>
  </si>
  <si>
    <t>same rate; cripple lf × (1 + cut waste) (74 pcs, 177 lf in the shed model)</t>
  </si>
  <si>
    <t>Track 600T125-54, panel bottom + top</t>
  </si>
  <si>
    <t>6" web, 1.25" leg, 54 mil; 2 × 48" per panel</t>
  </si>
  <si>
    <t>600T125-54 was not listed; carried at the 600T200-54 rate $1.94/lf — US Frame Factory published list, updated 5/1/2025 (usframefactory.com/current-metal-stud-pricing) — not a quote; lf × (1 + cut waste)</t>
  </si>
  <si>
    <t>Track 600T125-54, headers + sills</t>
  </si>
  <si>
    <t>jamb to jamb at each door, window and clerestory</t>
  </si>
  <si>
    <t>same track rate; 45 pieces in the shed model</t>
  </si>
  <si>
    <t>Top track 600T125-54, continuous</t>
  </si>
  <si>
    <t>ties the wall tops for the roof; outer footprint perimeter (sloped on walls B/D over the rake infill in the shed design)</t>
  </si>
  <si>
    <t>same track rate; 139.8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</si>
  <si>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</si>
  <si>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</si>
  <si>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</si>
  <si>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</si>
  <si>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</si>
  <si>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</si>
  <si>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</si>
  <si>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</si>
  <si>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</si>
  <si>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</si>
  <si>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</si>
  <si>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</si>
  <si>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</si>
  <si>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</si>
  <si>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</si>
  <si>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Slab anchors</t>
  </si>
  <si>
    <t>0.5" wedge/screw anchor through the bottom track (PE to spec)</t>
  </si>
  <si>
    <t>placeholder price — replace with a quote; panels × anchors per panel</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</si>
  <si>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</si>
  <si>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</si>
  <si>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</si>
  <si>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</si>
  <si>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</si>
  <si>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</si>
  <si>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</si>
  <si>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</si>
  <si>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</si>
  <si>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</si>
  <si>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</si>
  <si>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</si>
  <si>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</si>
  <si>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</si>
  <si>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</si>
  <si>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</si>
  <si>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</si>
  <si>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</si>
  <si>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</si>
  <si>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</si>
  <si>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</si>
  <si>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</si>
  <si>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</si>
  <si>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</si>
  <si>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</si>
  <si>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</si>
  <si>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</si>
  <si>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site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</si>
  <si>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</si>
  <si>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</si>
  <si>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</si>
  <si>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</si>
  <si>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</si>
  <si>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</si>
  <si>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</si>
  <si>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</si>
  <si>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</si>
  <si>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</si>
  <si>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</si>
  <si>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</si>
  <si>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</si>
  <si>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</si>
  <si>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9 casting cycles</t>
  </si>
  <si>
    <t>Edge form lumber</t>
  </si>
  <si>
    <t>2×8 (8" tall) around each slot, reused every cycle; a movable end board shortens the slot for the 10'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</si>
  <si>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</si>
  <si>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</si>
  <si>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</si>
  <si>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</si>
  <si>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</si>
  <si>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Everything else tab (Electrical)</t>
  </si>
  <si>
    <t>Conduit 0.75"</t>
  </si>
  <si>
    <t>box to the top of the panel (top track), or to the sill of the opening above the box</t>
  </si>
  <si>
    <t>placeholder price — replace with a quote; wire and fittings not included</t>
  </si>
  <si>
    <t>Drain / vent 2"</t>
  </si>
  <si>
    <t>in the 2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</si>
  <si>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</si>
  <si>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</si>
  <si>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</si>
  <si>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</si>
  <si>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</si>
  <si>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</si>
  <si>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</si>
  <si>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</si>
  <si>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</si>
  <si>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</si>
  <si>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</si>
  <si>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</si>
  <si>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</si>
  <si>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forklift/boom rental is on the Everything else tab</t>
  </si>
  <si>
    <t>Wire and plumb (rough-in)</t>
  </si>
  <si>
    <t>hours × loaded rate; licensed trades may price this separately</t>
  </si>
  <si>
    <t>Hang the cladding</t>
  </si>
  <si>
    <t>hours × loaded rate; pump rental NOT included</t>
  </si>
  <si>
    <t>Labor subtotal</t>
  </si>
  <si>
    <t>WALLS TOTAL (materials + labor, before contingency)</t>
  </si>
  <si>
    <t>Walls with the Summary contingency</t>
  </si>
  <si>
    <t>Cost per panel (with contingency)</t>
  </si>
  <si>
    <t>Cost per sf of wall, gross (with contingency)</t>
  </si>
  <si>
    <t>Cost per sf of wall, net of openings (with contingency)</t>
  </si>
  <si>
    <t>This tab: the wall panels only. The roof is on the Roof tab, the slab/footings on Floor options, doors, windows, fixtures, finishes, site and soft costs on Everything else; the Summary adds them up. Labor hours and the rate are placeholders.</t>
  </si>
  <si>
    <t>Prices are placeholders typed in by Claude on 2026-09-06 for order-of-magnitude only; none is a quote. Replace every yellow price cell.</t>
  </si>
  <si>
    <t>Roof — shed roof to the view (Option 3) or flat roof (Option 1), per the Summary selector</t>
  </si>
  <si>
    <t>Roof panels of the roof-project design: 3 strips on 800S162-68 studs, cast flat in the yard to the ground pour, craned up, topped and coated. Shed: the plane rises 1"/ft to wall A (150" tall), clerestory band on every wall-A panel, rake infill on walls B/D. Flat: every wall 120" tall, no clerestory, a 0.0625"/ft drainage slope built into the top pour, 12" front overhang. generated 2026-09-06</t>
  </si>
  <si>
    <t>Roof design (from the Summary selector)</t>
  </si>
  <si>
    <t>change it on the Summary tab (shed / flat); every IF() below keys off this cell</t>
  </si>
  <si>
    <t>Design-driven input</t>
  </si>
  <si>
    <t>Active value</t>
  </si>
  <si>
    <t>flat</t>
  </si>
  <si>
    <t>Note</t>
  </si>
  <si>
    <t>Wall A height (feeds the Walls tab)</t>
  </si>
  <si>
    <t>shed: panel height + the rise over the footprint depth; flat: the panel height; the Walls tab links here, so every wall quantity follows the design</t>
  </si>
  <si>
    <t>Clerestory band on wall A (1 = every wall-A panel carries one)</t>
  </si>
  <si>
    <t>flag</t>
  </si>
  <si>
    <t>the Walls tab clerestory count and the clerestory window line on Everything else multiply by this</t>
  </si>
  <si>
    <t>Roof slope</t>
  </si>
  <si>
    <t>in / ft</t>
  </si>
  <si>
    <t>shed: the roof plane rises to wall A; flat: drainage slope inside the top pour (roof.slopePerFoot per design)</t>
  </si>
  <si>
    <t>Overhang, front (wall A, the view side)</t>
  </si>
  <si>
    <t>roof.overhang.front per design</t>
  </si>
  <si>
    <t>Links from the Walls tab (green)</t>
  </si>
  <si>
    <t>Panels along X (wall A)</t>
  </si>
  <si>
    <t>Walls tab</t>
  </si>
  <si>
    <t>Clerestory openings (0 for flat)</t>
  </si>
  <si>
    <t>Clerestory width</t>
  </si>
  <si>
    <t>Clerestory height</t>
  </si>
  <si>
    <t>Concrete waste</t>
  </si>
  <si>
    <t>Steel cut waste</t>
  </si>
  <si>
    <t>Cement price per yd³</t>
  </si>
  <si>
    <t>Foam price per yd³</t>
  </si>
  <si>
    <t>Roof inputs (from wall.config.json roof.*)</t>
  </si>
  <si>
    <t>Roof studs 800S162-68: web depth</t>
  </si>
  <si>
    <t>800S162-68 (68 mil) — the roof project found 6" studs cannot clear-span; 8" per the PE is an open item</t>
  </si>
  <si>
    <t xml:space="preserve">   roof stud spacing</t>
  </si>
  <si>
    <t xml:space="preserve">   roof stud flange</t>
  </si>
  <si>
    <t>studs at 0, spacing, 2 × spacing … inside the far edge by a flange, plus the closing stud</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</si>
  <si>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</si>
  <si>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</si>
  <si>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</si>
  <si>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</si>
  <si>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</si>
  <si>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</si>
  <si>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</si>
  <si>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weight)</t>
  </si>
  <si>
    <t>Steel allowance in the pick weight</t>
  </si>
  <si>
    <t>psf</t>
  </si>
  <si>
    <t>roof.steelPsf</t>
  </si>
  <si>
    <t>Lift inserts per strip</t>
  </si>
  <si>
    <t>roof.picks</t>
  </si>
  <si>
    <t>Overhang, back (wall C)</t>
  </si>
  <si>
    <t>roof.overhang.back</t>
  </si>
  <si>
    <t>Overhang, sides (walls B and D, each)</t>
  </si>
  <si>
    <t>roof.overhang.sides</t>
  </si>
  <si>
    <t>Roof strips (panels across X)</t>
  </si>
  <si>
    <t>roof.panels; each strip runs the full front-to-back depth</t>
  </si>
  <si>
    <t>Roof labor assumptions (roof v6 basis — placeholders)</t>
  </si>
  <si>
    <t>Roof framing</t>
  </si>
  <si>
    <t>man-hours / sf</t>
  </si>
  <si>
    <t>studs, track, channel, screws, flat in the yard</t>
  </si>
  <si>
    <t>Roof mesh and spacers</t>
  </si>
  <si>
    <t>Roof ground pour</t>
  </si>
  <si>
    <t>in the yard</t>
  </si>
  <si>
    <t>Roof top pour</t>
  </si>
  <si>
    <t>on the roof, pumped</t>
  </si>
  <si>
    <t>Pick and set the strips (crane day)</t>
  </si>
  <si>
    <t>rigging, set, level, tie down</t>
  </si>
  <si>
    <t>Roof derived quantities (formulas — they reproduce roofTakeoff(cfg) for the selected design; see the Model takeoff tab)</t>
  </si>
  <si>
    <t>Roof plan width (X + side overhangs)</t>
  </si>
  <si>
    <t>Roof plan depth (Z + front + back overhangs)</t>
  </si>
  <si>
    <t>the front overhang switches with the design</t>
  </si>
  <si>
    <t>Slope factor</t>
  </si>
  <si>
    <t>sloped length ÷ plan length; 1 for the flat design (its slope lives inside the top pour)</t>
  </si>
  <si>
    <t>Roof rise over the footprint depth</t>
  </si>
  <si>
    <t>shed: wall A height − panel height (audit: within 1"); flat: 0</t>
  </si>
  <si>
    <t>Flat-design cap build-up, average</t>
  </si>
  <si>
    <t>flat: the drainage slope cast into the top pour, averaged over the depth (flatSlopeAvg in roof.js); 0 for the shed</t>
  </si>
  <si>
    <t>Strip width</t>
  </si>
  <si>
    <t>Strip length (sloped)</t>
  </si>
  <si>
    <t>Studs per strip</t>
  </si>
  <si>
    <t>regular studs plus the closing stud</t>
  </si>
  <si>
    <t>Channel rows per strip</t>
  </si>
  <si>
    <t>same row rule as the walls, along the strip</t>
  </si>
  <si>
    <t>Roof stack</t>
  </si>
  <si>
    <t>cover + channel + stud + cap</t>
  </si>
  <si>
    <t>Top pour depth</t>
  </si>
  <si>
    <t>stack less the ground pour (before the flat-design build-up)</t>
  </si>
  <si>
    <t>800S162-68,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</si>
  <si>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</si>
  <si>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</si>
  <si>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</si>
  <si>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</si>
  <si>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</si>
  <si>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</si>
  <si>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</si>
  <si>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</si>
  <si>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</si>
  <si>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</si>
  <si>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</si>
  <si>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crane</t>
  </si>
  <si>
    <t>Rake infill on walls B and D, neat (shed only)</t>
  </si>
  <si>
    <t>two triangular wedges, wall thickness wide, from 0 at the back to the full rise at the front; 0 for the flat design</t>
  </si>
  <si>
    <t>Clerestory glass (shed only)</t>
  </si>
  <si>
    <t>openings × width × height; the Walls count is 0 for the flat design</t>
  </si>
  <si>
    <t>Roof materials &amp; labor (Type = Material or Labor; the subtotals split by type)</t>
  </si>
  <si>
    <t>Roof studs 800S162-68</t>
  </si>
  <si>
    <t>8" web, 1.625" flange, 68 mil (14 ga); cut to the strip length</t>
  </si>
  <si>
    <t>$2.42/lf 600S162-68 — US Frame Factory published list, updated 5/1/2025 (usframefactory.com/current-metal-stud-pricing) — not a quote; the 800S162-68 was not listed, carried at the 68-mil 6" rate as a proxy; 8" studs per the PE are an open item (36 pcs in the shed model)</t>
  </si>
  <si>
    <t>Roof track 800T, both ends of every strip</t>
  </si>
  <si>
    <t>8" web, 68 mil; 2 × strip width per strip</t>
  </si>
  <si>
    <t>proxy at the same $2.42/lf — US Frame Factory published list, updated 5/1/2025 (usframefactory.com/current-metal-stud-pricing) — not a quote; lf × (1 + cut waste)</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</si>
  <si>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</si>
  <si>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</si>
  <si>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</si>
  <si>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</si>
  <si>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</si>
  <si>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</si>
  <si>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</si>
  <si>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</si>
  <si>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</si>
  <si>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</si>
  <si>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</si>
  <si>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</si>
  <si>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</si>
  <si>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</si>
  <si>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</si>
  <si>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</si>
  <si>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</si>
  <si>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(cast on the wall tops) — shed only</t>
  </si>
  <si>
    <t>triangular wedge under the sloped roof, wall thickness wide, 0 at the back to the full rise at the front; with waste</t>
  </si>
  <si>
    <t>same $/yd³; 0 for the flat design; casting detail (form or precast wedge) is an open item</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</si>
  <si>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</si>
  <si>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</si>
  <si>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</si>
  <si>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</si>
  <si>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</si>
  <si>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</si>
  <si>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Clerestory glazing allowance — shed only</t>
  </si>
  <si>
    <t>40" × 24" fixed glass in every wall-A panel</t>
  </si>
  <si>
    <t>allowance from docs/roof-options.html Option 3 ($60/sf); 0 for the flat design; the window units themselves are on Everything else (Doors and windows); frames and anchoring to the jambs are an open item</t>
  </si>
  <si>
    <t>Crane and rigging, pick day</t>
  </si>
  <si>
    <t>day</t>
  </si>
  <si>
    <t>mid-size hydraulic crane for the three strips (the wall forklift cannot pick ~10,600 lb)</t>
  </si>
  <si>
    <t>placeholder price — replace with a quote; roof-options Option 3 basis; equipment, typed Material</t>
  </si>
  <si>
    <t>Eco Finish roof membrane</t>
  </si>
  <si>
    <t>elastomeric membrane over the top pour, roof only (the walls carry no exterior finish line)</t>
  </si>
  <si>
    <t>Ken priced the roof membrane at $8/sf (roof v6 sheet); applied to the roof area on the slope; installed allowance, typed Material</t>
  </si>
  <si>
    <t>Labor: roof framing</t>
  </si>
  <si>
    <t>roof area × man-hours per sf</t>
  </si>
  <si>
    <t>Labor: roof mesh and spacers</t>
  </si>
  <si>
    <t>Labor: roof ground pour</t>
  </si>
  <si>
    <t>Labor: roof top pour</t>
  </si>
  <si>
    <t>Labor: pick, set and tie down the strips</t>
  </si>
  <si>
    <t>crane day crew</t>
  </si>
  <si>
    <t>Roof subtotal</t>
  </si>
  <si>
    <t>ROOF TOTAL (materials + labor, before contingency)</t>
  </si>
  <si>
    <t>Roof with the Summary contingency</t>
  </si>
  <si>
    <t>Roof cost per sf of roof (with contingency)</t>
  </si>
  <si>
    <t>Switch the design on the Summary tab: shed → 12'-6" wall A, clerestory band, 1"/ft slope, 24" front overhang, rake infill; flat → 10' walls, no clerestory, 1/16"/ft slope in the top pour, 12" front overhang. Both presets come from wall.config.json designs.*.</t>
  </si>
  <si>
    <t>Floor options — A: slab on grade vs. B: footings + floor panel</t>
  </si>
  <si>
    <t>Same footprint as the walls. Option A pours a slab on grade with a thickened edge under the walls. Option B pours strip footings only and drops in a floor panel: the roof panel turned finish-face UP, cast with its ground pour only (studs left open underneath, not filled). The Summary picks A or B with its Foundation selector. Yellow = assumptions and placeholder prices; green = linked to the Walls tab. Every line is typed Material or Labor.</t>
  </si>
  <si>
    <t>Shared inputs</t>
  </si>
  <si>
    <t>Foundation selected on the Summary (A / B)</t>
  </si>
  <si>
    <t>change it on the Summary tab</t>
  </si>
  <si>
    <t>linked to the Walls footprint</t>
  </si>
  <si>
    <t>Floor area (outside of walls)</t>
  </si>
  <si>
    <t>Perimeter under the walls</t>
  </si>
  <si>
    <t>linked to the Walls labor rate</t>
  </si>
  <si>
    <t>linked to the Walls tab</t>
  </si>
  <si>
    <t>Ready-mix concrete (3,000 psi, delivered)</t>
  </si>
  <si>
    <t>placeholder — local ready-mix quote</t>
  </si>
  <si>
    <t>Gravel base</t>
  </si>
  <si>
    <t>placeholder</t>
  </si>
  <si>
    <t>#4 rebar</t>
  </si>
  <si>
    <t>$/lf</t>
  </si>
  <si>
    <t>6×6 welded wire mesh</t>
  </si>
  <si>
    <t>$/sf</t>
  </si>
  <si>
    <t>Vapor barrier</t>
  </si>
  <si>
    <t>Edge / footing forms</t>
  </si>
  <si>
    <t>placeholder, reusable lumber</t>
  </si>
  <si>
    <t>Option A — slab on grade</t>
  </si>
  <si>
    <t>Slab thickness</t>
  </si>
  <si>
    <t>config site.slabThickness</t>
  </si>
  <si>
    <t>Thickened edge width (under the walls)</t>
  </si>
  <si>
    <t>assumption: turned-down edge for the wall bearing</t>
  </si>
  <si>
    <t>Thickened edge depth below the slab</t>
  </si>
  <si>
    <t>assumption</t>
  </si>
  <si>
    <t>Gravel base thickness</t>
  </si>
  <si>
    <t>#4 bars in the thickened edge</t>
  </si>
  <si>
    <t>continuous, assumption</t>
  </si>
  <si>
    <t>Base prep and vapor barrier</t>
  </si>
  <si>
    <t>Place and finish the slab</t>
  </si>
  <si>
    <t>assumption: pump/chute, screed, trowel</t>
  </si>
  <si>
    <t>Edge forms and edge steel</t>
  </si>
  <si>
    <t>man-hours / lf</t>
  </si>
  <si>
    <t>Slab concrete</t>
  </si>
  <si>
    <t>Thickened edge concrete</t>
  </si>
  <si>
    <t>Option A concrete to order</t>
  </si>
  <si>
    <t>with the Walls waste %</t>
  </si>
  <si>
    <t>Ready-mix concrete, slab + thickened edge</t>
  </si>
  <si>
    <t>3,000 psi normal weight</t>
  </si>
  <si>
    <t>compacted, 10 % extra</t>
  </si>
  <si>
    <t>10-mil poly, 10 % lap</t>
  </si>
  <si>
    <t>Welded wire mesh</t>
  </si>
  <si>
    <t>6×6 W1.4, 10 % lap</t>
  </si>
  <si>
    <t>#4 rebar in the edge</t>
  </si>
  <si>
    <t>continuous, 10 % laps</t>
  </si>
  <si>
    <t>Edge forms</t>
  </si>
  <si>
    <t>reusable lumber</t>
  </si>
  <si>
    <t>Labor: base prep + vapor barrier</t>
  </si>
  <si>
    <t>hours × rate</t>
  </si>
  <si>
    <t>Labor: place and finish</t>
  </si>
  <si>
    <t>Labor: edge forms and steel</t>
  </si>
  <si>
    <t>Option A subtotal (slab on grade)</t>
  </si>
  <si>
    <t>Option B — strip footings + floor panel (roof panel turned over, ground pour only)</t>
  </si>
  <si>
    <t>Footing width</t>
  </si>
  <si>
    <t>assumption: strip footing under each wall line</t>
  </si>
  <si>
    <t>Footing depth</t>
  </si>
  <si>
    <t>Midspan footing / beam line under the floor panel</t>
  </si>
  <si>
    <t>yes = 1</t>
  </si>
  <si>
    <t>the roof spec found a 6" stud cannot clear-span ~21'; the floor panel needs a bearing line mid-span (length = footprint X)</t>
  </si>
  <si>
    <t>#4 bars per footing</t>
  </si>
  <si>
    <t>Footing excavation</t>
  </si>
  <si>
    <t>placeholder, machine dig</t>
  </si>
  <si>
    <t>Labor: form, steel, place footings</t>
  </si>
  <si>
    <t>Footing length</t>
  </si>
  <si>
    <t>Footing concrete to order</t>
  </si>
  <si>
    <t>Floor panel (from the roof-panel design, docs/spec-v1.md in the roof project)</t>
  </si>
  <si>
    <t>Bottom cover = finished floor face (cast on the liner, turned up)</t>
  </si>
  <si>
    <t>roof config concrete.bottomCover</t>
  </si>
  <si>
    <t>roof config</t>
  </si>
  <si>
    <t>600S162-68, roof config</t>
  </si>
  <si>
    <t>Ground pour (cover + channel + 3" into the studs)</t>
  </si>
  <si>
    <t>roof config concrete.groundPourDepth — the panel is NOT filled further</t>
  </si>
  <si>
    <t>Stud flange</t>
  </si>
  <si>
    <t>Channel row spacing / first row</t>
  </si>
  <si>
    <t>roof config (first row 12" in)</t>
  </si>
  <si>
    <t>Lift inserts</t>
  </si>
  <si>
    <t>roof config lifting.pickPoints</t>
  </si>
  <si>
    <t>Cast density</t>
  </si>
  <si>
    <t>Cellular concrete, cement + foam</t>
  </si>
  <si>
    <t>Ken's basis: 600 lb/yd³, $200 + $20 per yd³ (Walls mix block)</t>
  </si>
  <si>
    <t>Stud 600S162-68 (14 ga)</t>
  </si>
  <si>
    <t>US Frame Factory list 5/1/2025 — not a quote</t>
  </si>
  <si>
    <t>Track 600T150-68</t>
  </si>
  <si>
    <t>assumed at the 68-mil stud rate</t>
  </si>
  <si>
    <t>Cold-rolled channel 1-1/2" 16 ga</t>
  </si>
  <si>
    <t>$11.67 per 16 ft piece, same list</t>
  </si>
  <si>
    <t>Screws</t>
  </si>
  <si>
    <t>$/ea</t>
  </si>
  <si>
    <t>Spacer blocks</t>
  </si>
  <si>
    <t>Ground form: liner</t>
  </si>
  <si>
    <t>Ground form: edge lumber</t>
  </si>
  <si>
    <t>Crane and rigging for the pick (day)</t>
  </si>
  <si>
    <t>$/day</t>
  </si>
  <si>
    <t>placeholder — the wall forklift cannot pick a ~12,000 lb panel</t>
  </si>
  <si>
    <t>Labor: framing</t>
  </si>
  <si>
    <t>roof v6 basis</t>
  </si>
  <si>
    <t>Labor: mesh and spacers</t>
  </si>
  <si>
    <t>Labor: ground pour</t>
  </si>
  <si>
    <t>Labor: pick day, set and level on the footings</t>
  </si>
  <si>
    <t>Studs</t>
  </si>
  <si>
    <t>across footprint X, plus the closing stud</t>
  </si>
  <si>
    <t>Stud length (spans footprint Z)</t>
  </si>
  <si>
    <t>bears on the two end footings and the midspan line</t>
  </si>
  <si>
    <t>Channel rows</t>
  </si>
  <si>
    <t>Floor panel concrete to order</t>
  </si>
  <si>
    <t>ground pour only, with waste</t>
  </si>
  <si>
    <t>Floor panel weight at pick</t>
  </si>
  <si>
    <t>concrete + 4 psf steel</t>
  </si>
  <si>
    <t>strip footings + midspan line</t>
  </si>
  <si>
    <t>machine dig, typed Material (equipment)</t>
  </si>
  <si>
    <t>Ready-mix concrete, footings</t>
  </si>
  <si>
    <t>3,000 psi</t>
  </si>
  <si>
    <t>#4 rebar in the footings</t>
  </si>
  <si>
    <t>Footing forms</t>
  </si>
  <si>
    <t>both sides</t>
  </si>
  <si>
    <t>Labor: footings</t>
  </si>
  <si>
    <t>Cellular concrete, ground pour (cement + foam)</t>
  </si>
  <si>
    <t>Ken's basis: 600 lb/yd³, $200 + $20 per yd³</t>
  </si>
  <si>
    <t>Studs 600S162-68</t>
  </si>
  <si>
    <t>studs × length</t>
  </si>
  <si>
    <t>both ends</t>
  </si>
  <si>
    <t>Cold-rolled channel</t>
  </si>
  <si>
    <t>rows × width</t>
  </si>
  <si>
    <t>2 per crossing</t>
  </si>
  <si>
    <t>one layer, with lap</t>
  </si>
  <si>
    <t>rows × studs</t>
  </si>
  <si>
    <t>cast-in</t>
  </si>
  <si>
    <t>Ground form liner</t>
  </si>
  <si>
    <t>10 % lap</t>
  </si>
  <si>
    <t>Ground form edge lumber</t>
  </si>
  <si>
    <t>perimeter</t>
  </si>
  <si>
    <t>mid-size hydraulic crane</t>
  </si>
  <si>
    <t>equipment, typed Material</t>
  </si>
  <si>
    <t>Labor: pick, set and level</t>
  </si>
  <si>
    <t>Option B subtotal (footings + floor panel)</t>
  </si>
  <si>
    <t>Comparison (before contingency; the Summary applies the one contingency % to the selected option)</t>
  </si>
  <si>
    <t>Option B — footings + floor panel</t>
  </si>
  <si>
    <t>Difference (B − A)</t>
  </si>
  <si>
    <t>Selected option (per the Summary Foundation cell)</t>
  </si>
  <si>
    <t>Option A per sf of floor (outside)</t>
  </si>
  <si>
    <t>Option B per sf of floor (outside)</t>
  </si>
  <si>
    <t>Option B floor panel weight at pick</t>
  </si>
  <si>
    <t>What Option B buys that A does not: a finished, insulated (~R-1.5/in) cellular-concrete floor over an open crawl space instead of concrete on grade; the panel is the roof design turned over, so the studs and the open cavity face down and are not filled.</t>
  </si>
  <si>
    <t>What Option A buys that B does not: no crane day, no 7-day panel cure before the walls go up, a slab that also serves as the casting pad for the wall bed.</t>
  </si>
  <si>
    <t>Not in either option: excavation for the slab itself (Everything else → Exterior and site carries an excavation allowance), under-slab plumbing (Plumbing carries the building drain), the midspan line as a printed wall or steel beam (Option B carries it as a strip footing only), engineering (Soft costs). Floor finish is on Everything else → Flooring; its slab-prep line becomes a floor-panel finish line under Option B (note only).</t>
  </si>
  <si>
    <t>Everything else — plumbing, electrical, fixtures, heating/cooling, kitchen, baths, flooring, doors and windows, interior finish, exterior and site, soft costs</t>
  </si>
  <si>
    <t>From docs/house-items.json. BLUE quantities come from the floor plan (docs/floor-plan.json) and the config; GREEN quantities link to the Walls / Roof / Summary tabs; YELLOW = placeholder unit prices and labor (hours per unit at the loaded rate, or a flat $ per unit for trades priced by the job) — none is a quote. Section subtotals feed the Summary.</t>
  </si>
  <si>
    <t>Links (green) and selectors (yellow)</t>
  </si>
  <si>
    <t>Walls tab; every "hours per unit" line multiplies by it</t>
  </si>
  <si>
    <t>Roof design (Summary selector)</t>
  </si>
  <si>
    <t>shed / flat</t>
  </si>
  <si>
    <t>Clerestory band active (1 = shed, 0 = flat)</t>
  </si>
  <si>
    <t>Roof tab; the clerestory window line multiplies by it</t>
  </si>
  <si>
    <t>Summary tab</t>
  </si>
  <si>
    <t>Net wall area (walls, openings out)</t>
  </si>
  <si>
    <t>Walls tab; follows the design (the 12'-6" wall A drops to 10' for flat)</t>
  </si>
  <si>
    <t>MEP boxes in the wall panels</t>
  </si>
  <si>
    <t>Walls tab: one outlet per panel, a switch on door panels</t>
  </si>
  <si>
    <t>Foundation (Summary selector)</t>
  </si>
  <si>
    <t>A slab / B footings + floor panel — see the Flooring note</t>
  </si>
  <si>
    <t>PLUMBING</t>
  </si>
  <si>
    <t>Material $/unit</t>
  </si>
  <si>
    <t>Labor h/unit or flat $</t>
  </si>
  <si>
    <t>Rough-in, supply + DWV per fixture</t>
  </si>
  <si>
    <t>fixtures</t>
  </si>
  <si>
    <t>2 toilets, 2 lavatories, shower, tub, kitchen sink, dishwasher, washer box, ice maker, 2 hose bibs</t>
  </si>
  <si>
    <t>Main water line + shut-off, from the meter</t>
  </si>
  <si>
    <t>allowance; site connection is under Site</t>
  </si>
  <si>
    <t>Building drain to the sewer / septic stub</t>
  </si>
  <si>
    <t>allowance</t>
  </si>
  <si>
    <t>Water heater, 50-gal electric</t>
  </si>
  <si>
    <t>option: tankless electric ≈ $1,400 + 6 h</t>
  </si>
  <si>
    <t>Toilet, elongated</t>
  </si>
  <si>
    <t>Bath 1 + Bath 2</t>
  </si>
  <si>
    <t>Vanity with top + faucet</t>
  </si>
  <si>
    <t>48" in Bath 1, 36" in Bath 2</t>
  </si>
  <si>
    <t>Shower, 36×48 base + valve + door</t>
  </si>
  <si>
    <t>Bath 1</t>
  </si>
  <si>
    <t>Tub, 30×60 + valve</t>
  </si>
  <si>
    <t>Bath 2</t>
  </si>
  <si>
    <t>Kitchen sink + faucet + disposal</t>
  </si>
  <si>
    <t>Washer box + dryer vent</t>
  </si>
  <si>
    <t>Laundry</t>
  </si>
  <si>
    <t>Plumbing subtotal</t>
  </si>
  <si>
    <t>ELECTRICAL</t>
  </si>
  <si>
    <t>200 A service panel, meter base, grounding</t>
  </si>
  <si>
    <t>service drop/trench under Site</t>
  </si>
  <si>
    <t>Branch circuits: wire, breakers, boxes, devices</t>
  </si>
  <si>
    <t>outlets/switches</t>
  </si>
  <si>
    <t>34 boxes in the model (one per panel + switches); conduit in the cavity is in the wall MEP allowance; qty linked to the Walls MEP boxes (json: 34)</t>
  </si>
  <si>
    <t>Dedicated circuits: range, dryer, water heater, HVAC, dishwasher, microwave, fridge</t>
  </si>
  <si>
    <t>circuits</t>
  </si>
  <si>
    <t>GFCI/AFCI and exterior weatherproof outlets</t>
  </si>
  <si>
    <t>kitchen, baths, laundry, exterior</t>
  </si>
  <si>
    <t>Smoke / CO detectors, interconnected</t>
  </si>
  <si>
    <t>2 bedrooms, hall, living</t>
  </si>
  <si>
    <t>Bath exhaust fans</t>
  </si>
  <si>
    <t>ducted through the roof cap — sleeve at the pour</t>
  </si>
  <si>
    <t>Range hood</t>
  </si>
  <si>
    <t>Data / TV / doorbell low-voltage allowance</t>
  </si>
  <si>
    <t>lot</t>
  </si>
  <si>
    <t>Electrical subtotal</t>
  </si>
  <si>
    <t>LIGHT FIXTURES</t>
  </si>
  <si>
    <t>Recessed / surface LED, living-dining-kitchen</t>
  </si>
  <si>
    <t>cast ceiling: surface or shallow cans set in the roof pour — sleeves at the pour</t>
  </si>
  <si>
    <t>Pendants over the island</t>
  </si>
  <si>
    <t>Bedroom ceiling fixtures / fans</t>
  </si>
  <si>
    <t>Bath vanity lights</t>
  </si>
  <si>
    <t>Closet, hall, laundry fixtures</t>
  </si>
  <si>
    <t>Exterior wall lights (entry, back, sides)</t>
  </si>
  <si>
    <t>Light fixtures subtotal</t>
  </si>
  <si>
    <t>HEATING / COOLING (choose one option)</t>
  </si>
  <si>
    <t>Heating / cooling option (pick A, B or C)</t>
  </si>
  <si>
    <t>A = ductless mini-split heat pump, 2 zones (24k + 12k BTU) · B = electric wall heaters + window/through-wall AC · C = central ducted heat pump with a dropped soffit duct run</t>
  </si>
  <si>
    <t>ERV / fresh-air add-on (yes / no)</t>
  </si>
  <si>
    <t>yes</t>
  </si>
  <si>
    <t>tight concrete envelope — recommended with any option</t>
  </si>
  <si>
    <t>Option A: ductless mini-split heat pump, 2 zones (24k + 12k BTU)</t>
  </si>
  <si>
    <t>system</t>
  </si>
  <si>
    <t>no ducts in the cast ceiling; heads on the exterior walls; counts only when the option cell is A</t>
  </si>
  <si>
    <t>Option B: electric wall heaters + window/through-wall AC</t>
  </si>
  <si>
    <t>lowest first cost, highest running cost; counts only when the option cell is B</t>
  </si>
  <si>
    <t>Option C: central ducted heat pump with a dropped soffit duct run</t>
  </si>
  <si>
    <t>needs a soffit along the hall/bedroom wall for ducts; counts only when the option cell is C</t>
  </si>
  <si>
    <t>ERV / fresh-air ventilation (add to any option)</t>
  </si>
  <si>
    <t>tight concrete envelope — recommended; counts only when the ERV cell is yes</t>
  </si>
  <si>
    <t>Heating/cooling subtotal</t>
  </si>
  <si>
    <t>KITCHEN</t>
  </si>
  <si>
    <t>Base + wall cabinets</t>
  </si>
  <si>
    <t>L-run along wall B + back partition from the plan</t>
  </si>
  <si>
    <t>Island cabinet</t>
  </si>
  <si>
    <t>84" island</t>
  </si>
  <si>
    <t>Countertops, quartz</t>
  </si>
  <si>
    <t>25" deep runs + island</t>
  </si>
  <si>
    <t>Backsplash tile</t>
  </si>
  <si>
    <t>Refrigerator</t>
  </si>
  <si>
    <t>Range, electric</t>
  </si>
  <si>
    <t>Dishwasher</t>
  </si>
  <si>
    <t>Microwave</t>
  </si>
  <si>
    <t>Washer + dryer</t>
  </si>
  <si>
    <t>pair</t>
  </si>
  <si>
    <t>Kitchen subtotal</t>
  </si>
  <si>
    <t>BATHROOMS (beyond the plumbing fixtures)</t>
  </si>
  <si>
    <t>Shower wall tile</t>
  </si>
  <si>
    <t>36×48 shower, 3 walls to 84"</t>
  </si>
  <si>
    <t>Tub surround tile</t>
  </si>
  <si>
    <t>Mirrors, medicine cabinets, accessories</t>
  </si>
  <si>
    <t>baths</t>
  </si>
  <si>
    <t>Shower niche, curb, waterproofing</t>
  </si>
  <si>
    <t>Bathrooms subtotal</t>
  </si>
  <si>
    <t>FLOORING</t>
  </si>
  <si>
    <t>Luxury vinyl plank, open zone + hall + laundry + closet</t>
  </si>
  <si>
    <t>living 270 + dining 120 + kitchen 181 + hall 39 + laundry 30 + closet 42 (plan rooms)</t>
  </si>
  <si>
    <t>Luxury vinyl plank, bedrooms</t>
  </si>
  <si>
    <t>bed 1 169 + bed 2 118 (option: carpet ≈ $3.5/sf)</t>
  </si>
  <si>
    <t>Porcelain tile, baths</t>
  </si>
  <si>
    <t>bath 1 49 + bath 2 48</t>
  </si>
  <si>
    <t>Slab prep / self-leveler (or floor-panel finish if Option B foundation)</t>
  </si>
  <si>
    <t>inside area; qty linked to the Summary inside floor area (json: 1066); Foundation B: this line becomes the floor-panel finish (grind/seal the cast face) instead of slab prep — same allowance, note only</t>
  </si>
  <si>
    <t>Base trim</t>
  </si>
  <si>
    <t>room perimeters less openings</t>
  </si>
  <si>
    <t>Flooring subtotal</t>
  </si>
  <si>
    <t>DOORS AND WINDOWS</t>
  </si>
  <si>
    <t>Exterior entry door, prehung insulated, hardware</t>
  </si>
  <si>
    <t>A1</t>
  </si>
  <si>
    <t>Windows 40×72, fixed/casement, impact-rated option</t>
  </si>
  <si>
    <t>A2–A8 view windows (config)</t>
  </si>
  <si>
    <t>Windows 36×48</t>
  </si>
  <si>
    <t>C1, C8, D2, and B1 (36×42 priced the same)</t>
  </si>
  <si>
    <t>Window 24×24, bath</t>
  </si>
  <si>
    <t>C5</t>
  </si>
  <si>
    <t>Clerestory windows 40×24 (shed design only)</t>
  </si>
  <si>
    <t>A0–A9 clerestory band; the sheet zeroes this for the flat design; 10 × the clerestory flag</t>
  </si>
  <si>
    <t>Interior doors, prehung + hardware</t>
  </si>
  <si>
    <t>bed 1, closet, bath 1, bath 2, bed 2</t>
  </si>
  <si>
    <t>Laundry bifold door</t>
  </si>
  <si>
    <t>Window sills / jamb wrap at the concrete openings</t>
  </si>
  <si>
    <t>openings</t>
  </si>
  <si>
    <t>Doors and windows subtotal</t>
  </si>
  <si>
    <t>INTERIOR FINISH</t>
  </si>
  <si>
    <t>Skim coat + paint, interior face of the wall panels</t>
  </si>
  <si>
    <t>net wall area (config); the cast skin is the finished surface — one skim coat max; qty linked to the Walls net wall area (follows the design) (json: 1148)</t>
  </si>
  <si>
    <t>Ceiling paint (cast underside of the roof panels)</t>
  </si>
  <si>
    <t>inside area; qty linked to the Summary inside floor area (json: 1066)</t>
  </si>
  <si>
    <t>Interior partitions: 2×4 steel/wood studs, drywall both sides, paint</t>
  </si>
  <si>
    <t>plan partitions ≈ 60 lf × 9'</t>
  </si>
  <si>
    <t>Closet shelving / rod</t>
  </si>
  <si>
    <t>closets</t>
  </si>
  <si>
    <t>walk-in + bed 2 closet</t>
  </si>
  <si>
    <t>Interior finish subtotal</t>
  </si>
  <si>
    <t>EXTERIOR AND SITE</t>
  </si>
  <si>
    <t>Exterior finish on the cladding (option — $0 until chosen)</t>
  </si>
  <si>
    <t>Ken: no Eco Finish on the walls; coating/render/paint TBD; qty linked to the Walls net wall area (follows the design) (json: 1148)</t>
  </si>
  <si>
    <t>Gutters + downspouts, back eave</t>
  </si>
  <si>
    <t>roof drains to the back</t>
  </si>
  <si>
    <t>Entry stoop / steps, concrete</t>
  </si>
  <si>
    <t>Excavation, grading, backfill</t>
  </si>
  <si>
    <t>allowance; foundation itself is on the Floor options tab</t>
  </si>
  <si>
    <t>Utility connections: water, sewer/septic, power service</t>
  </si>
  <si>
    <t>allowance — varies with the site; septic system NOT included</t>
  </si>
  <si>
    <t>Forklift / boom rental for the wall sets</t>
  </si>
  <si>
    <t>days</t>
  </si>
  <si>
    <t>34 panels, 9 casting cycles → set days</t>
  </si>
  <si>
    <t>Dumpster, cleanup, temporary power/water</t>
  </si>
  <si>
    <t>Exterior and site subtotal</t>
  </si>
  <si>
    <t>SOFT COSTS</t>
  </si>
  <si>
    <t>Structural engineering (PE) — panels, connections, roof</t>
  </si>
  <si>
    <t>spec open items</t>
  </si>
  <si>
    <t>Permits, plan review, inspections</t>
  </si>
  <si>
    <t>allowance; varies by jurisdiction</t>
  </si>
  <si>
    <t>Builder's risk insurance</t>
  </si>
  <si>
    <t>Supervision / general conditions</t>
  </si>
  <si>
    <t>site lead across the build</t>
  </si>
  <si>
    <t>Soft costs subtotal</t>
  </si>
  <si>
    <t>EVERYTHING ELSE TOTAL (materials + labor, before contingency)</t>
  </si>
  <si>
    <t>Everything-else line items for the complete house estimate. Quantities derive from docs/floor-plan.json (rooms/fixtures) and wall.config.json (openings, MEP boxes) where a basis is given; unit prices are US mid-grade placeholders typed on 2026-09-06, NOT quotes. material = $ per unit; laborHours = man-hours per unit at the sheet's loaded rate, or laborFlat = $ per unit for trades priced by the job.</t>
  </si>
  <si>
    <t>Design switch: clerestory windows count only when the roof design is 'shed'. Excluded here and everywhere: septic system, land, furniture, landscaping, appliances beyond the listed ones.</t>
  </si>
  <si>
    <t>Quantities computed by the 3D model (docs/takeoff.json) vs the Walls / Roof formulas</t>
  </si>
  <si>
    <t>generated 2026-09-06T21:58:41.371Z from public/config/wall.config.json for the SHED design · regenerate with `npm run takeoff`; the Estimate column links to the formulas, Δ should be 0 for every row that has one while the Summary selector is on 'shed' (switching to the other design moves the wall A height, the clerestory rows and the roof rows on purpose)</t>
  </si>
  <si>
    <t>Model value</t>
  </si>
  <si>
    <t>Estimate</t>
  </si>
  <si>
    <t>Δ</t>
  </si>
  <si>
    <t>A 10, B 7, C 10, D 7</t>
  </si>
  <si>
    <t>Solid / door / window panels</t>
  </si>
  <si>
    <t>21 / 1 / 12</t>
  </si>
  <si>
    <t>A1 door 36x84, A2 window 40x72, A3 window 40x72, A4 window 40x72, A5 window 40x72, A6 window 40x72, A7 window 40x72, A8 window 40x72, B1 window 36x42, C1 window 36x48, C5 window 24x24, C8 window 36x48, D2 window 36x48</t>
  </si>
  <si>
    <t>Panels with a clerestory band</t>
  </si>
  <si>
    <t>40x24 sill 120 on wall A</t>
  </si>
  <si>
    <t>Wall heights</t>
  </si>
  <si>
    <t>A 150 / B 120 / C 120 / D 120</t>
  </si>
  <si>
    <t>building.wallHeights overrides panel.height</t>
  </si>
  <si>
    <t>Wall A height</t>
  </si>
  <si>
    <t>per the design selector (Roof tab)</t>
  </si>
  <si>
    <t>B/D between A and C</t>
  </si>
  <si>
    <t>2 + 1.5 + 6 + 2</t>
  </si>
  <si>
    <t>per-wall heights</t>
  </si>
  <si>
    <t>Opening area</t>
  </si>
  <si>
    <t>doors + windows + clerestories</t>
  </si>
  <si>
    <t>Net wall area</t>
  </si>
  <si>
    <t>Skin pour</t>
  </si>
  <si>
    <t>5" deep</t>
  </si>
  <si>
    <t>Cladding sheets</t>
  </si>
  <si>
    <t>2" thick</t>
  </si>
  <si>
    <t>Cavity fill</t>
  </si>
  <si>
    <t>4.5" deep</t>
  </si>
  <si>
    <t>Total cellular concrete, walls (neat)</t>
  </si>
  <si>
    <t>before waste</t>
  </si>
  <si>
    <t>Full studs</t>
  </si>
  <si>
    <t>600S162-54</t>
  </si>
  <si>
    <t>Jamb studs</t>
  </si>
  <si>
    <t>a window and the clerestory of the same width share jamb lines</t>
  </si>
  <si>
    <t>clerestory 40x24 sill 120 @ 150": 4/panel, cuts 6, 120"; door 36x84 sill 0 + clerestory 40x24 sill 120 @ 150": 4/panel, cuts 6, 36"; window 40x72 sill 24 + clerestory 40x24 sill 120 @ 150": 6/panel, cuts 6, 24"; window 36x42 sill 42 @ 120": 4/panel, cuts 36, 42"; window 36x48 sill 36 @ 120": 4/panel, cuts 36"; window 24x24 sill 60 @ 120": 4/panel, cuts 36, 60"</t>
  </si>
  <si>
    <t>full pieces A 12.5 ft, B 10 ft, C 10 ft, D 10 ft</t>
  </si>
  <si>
    <t>68 pcs × 48"</t>
  </si>
  <si>
    <t>Top track (perimeter)</t>
  </si>
  <si>
    <t>outer footprint perimeter</t>
  </si>
  <si>
    <t>Track total</t>
  </si>
  <si>
    <t>Channel rows per panel (120" panels)</t>
  </si>
  <si>
    <t>stations [12, 60, 108]</t>
  </si>
  <si>
    <t>Channel rows per panel (150" panels)</t>
  </si>
  <si>
    <t>stations [12, 60, 108, 138]</t>
  </si>
  <si>
    <t>rows whose station lies inside an opening (sill..head) lose the span across the opening; the stubs each side remain</t>
  </si>
  <si>
    <t>a row station exactly on a sill/head counts as a crossing of the cripple ending there</t>
  </si>
  <si>
    <t>2 per channel/stud-segment crossing (config channel.screwsPerIntersection); crossings = 520</t>
  </si>
  <si>
    <t>Screws, stud to track</t>
  </si>
  <si>
    <t>4 per segment end (assumption, 2 per flange), 212 segments x 2 ends</t>
  </si>
  <si>
    <t>Screws, joints</t>
  </si>
  <si>
    <t>8 per joint (config) x 34 joints (closed loop: joints = panels)</t>
  </si>
  <si>
    <t>Screws, cladding</t>
  </si>
  <si>
    <t>12 per panel (assumption)</t>
  </si>
  <si>
    <t>2 per panel</t>
  </si>
  <si>
    <t>Mesh (no lap)</t>
  </si>
  <si>
    <t>2 layers × net sf</t>
  </si>
  <si>
    <t>MEP boxes</t>
  </si>
  <si>
    <t>33 outlet + 1 switch</t>
  </si>
  <si>
    <t>box to the top, or to the sill of the opening above it</t>
  </si>
  <si>
    <t>Drain</t>
  </si>
  <si>
    <t>to the top, or to the sill of a window over the drain line</t>
  </si>
  <si>
    <t>Supply</t>
  </si>
  <si>
    <t>4 slots × 150" (tallest panel)</t>
  </si>
  <si>
    <t>Edge form</t>
  </si>
  <si>
    <t>8" tall</t>
  </si>
  <si>
    <t>ROOF (roofTakeoff) — Roof tab</t>
  </si>
  <si>
    <t>shed 1"/ft, 3 strips, 800S162-68</t>
  </si>
  <si>
    <t>Roof plan width</t>
  </si>
  <si>
    <t>X + 2 × side overhang</t>
  </si>
  <si>
    <t>Roof plan depth</t>
  </si>
  <si>
    <t>Z + front + back overhang</t>
  </si>
  <si>
    <t>Roof rise</t>
  </si>
  <si>
    <t>wall A − wall C</t>
  </si>
  <si>
    <t>Flat-design cap build-up (avg)</t>
  </si>
  <si>
    <t>0 for the shed</t>
  </si>
  <si>
    <t>Roof area (slope)</t>
  </si>
  <si>
    <t>Strip length</t>
  </si>
  <si>
    <t>sloped</t>
  </si>
  <si>
    <t>Roof studs per strip</t>
  </si>
  <si>
    <t>Roof stud length</t>
  </si>
  <si>
    <t>36 pcs</t>
  </si>
  <si>
    <t>Roof channel rows per strip</t>
  </si>
  <si>
    <t>Roof track</t>
  </si>
  <si>
    <t>Roof spacers (= crossings)</t>
  </si>
  <si>
    <t>Roof screws</t>
  </si>
  <si>
    <t>Roof mesh (no lap)</t>
  </si>
  <si>
    <t>6.5" deep</t>
  </si>
  <si>
    <t>7" deep + the flat build-up</t>
  </si>
  <si>
    <t>Roof cellular concrete (neat)</t>
  </si>
  <si>
    <t>stack 13.5"</t>
  </si>
  <si>
    <t>Heaviest pick</t>
  </si>
  <si>
    <t>Rake infill</t>
  </si>
  <si>
    <t>two triangular wedges on the wall tops between the back wall height and the roof underside</t>
  </si>
  <si>
    <t>Clerestory glass</t>
  </si>
  <si>
    <t>10 openings</t>
  </si>
  <si>
    <t>What each tab is</t>
  </si>
  <si>
    <t>• Summary — the house-level view: the two selectors (Roof design shed/flat, Foundation A/B), the one contingency %, the inside floor area from the plan, the Cost by section table (Materials | Labor | Total | $/sf of floor | % of total), the GRAND TOTAL and per-sf figures, the key quantities, basis and exclusions. Every number on it is a green link to a tab.</t>
  </si>
  <si>
    <t>• Walls — the wall-panel inputs (blue, mirroring wall.config.json), the opening groups (one block per distinct panel opening signature — door/window + clerestory at a panel height — with the count; groups that exist in only one design are multiplied by the clerestory flag so they drop to 0 for the other design), the mix and labor assumptions (yellow), the derived quantities that reproduce the 3D model, and the cost table with a Type column (Material / Labor) and M / L / T subtotals per category. The wall A height and the clerestory flag are green links from the Roof tab.</t>
  </si>
  <si>
    <t>• Roof — the Roof design cell (green link to the Summary selector) drives IF() inputs: wall A height (150 / 120), clerestory flag (1 / 0), slope (1 / 1/16 in/ft), front overhang (24 / 12), and from them the slope factor (√(1+(slope/12)²) / 1), the flat-design cap build-up ((plan depth/12 × slope)/2 for flat, 0 for shed) and the rake infill (shed only). Then the roof quantities (roofTakeoff rules) and the roof cost table typed M / L: studs, track, channel, screws, spacers, inserts, mesh, ground + top pour + rake at Ken's $/yd³, liner and edge forms, clerestory glazing (shed only), crane day, Eco Finish $8/sf, roof labor.</t>
  </si>
  <si>
    <t>• Floor options — Option A slab on grade with a thickened edge vs Option B strip footings + a floor panel (the roof panel turned finish-face up, ground pour only, crane day). Both typed M / L; the Summary picks one with its Foundation selector.</t>
  </si>
  <si>
    <t>• Everything else — docs/house-items.json: PLUMBING, ELECTRICAL, LIGHT FIXTURES, HEATING / COOLING (an options block: the selector cell A / B / C counts only the chosen system, the ERV add-on has a yes/no cell), KITCHEN, BATHROOMS, FLOORING, DOORS AND WINDOWS (the clerestory window line is × the clerestory flag), INTERIOR FINISH, EXTERIOR AND SITE, SOFT COSTS. Columns: Item | Qty | Unit | Material $/unit | Material $ | Labor hours/unit or flat $ | Labor $ | Total | Basis; hours × the loaded rate from the Walls tab. Quantities with a model basis (MEP boxes, net wall area, inside floor area) are green links; the rest are blue from the plan.</t>
  </si>
  <si>
    <t>• Model takeoff — every quantity from docs/takeoff.json (generated for the shed design) beside the Walls / Roof formula that should reproduce it, with a Δ column. All Δ = 0 while the Summary is on "shed"; switching to "flat" moves the wall A height, clerestory, opening-area and roof rows on purpose.</t>
  </si>
  <si>
    <t>How the selectors work</t>
  </si>
  <si>
    <t>• Roof design (Summary B6, list shed / flat): Roof tab → active values by IF() → Walls tab HA and clOn (green links) → every wall quantity (gross area, studs cut to 12'-6" vs 10', 4 vs 3 channel rows on wall A, clerestory jambs/headers/sills, opening area, net area, concrete, mesh, labor) → Walls total → Summary. The Everything else clerestory window line and the Roof glazing line go to 0 for flat; the rake infill goes to 0; the top pour gains the flat build-up.</t>
  </si>
  <si>
    <t>• Foundation (Summary B7, list A / B): the Summary Foundation row and the Floor options "Selected option" row switch between the Option A and Option B M / L subtotals.</t>
  </si>
  <si>
    <t>• Heating (Everything else, list A / B / C) and ERV (yes / no): the option rows' quantities are IF(selector = option, 1, 0) × qty, so only one system counts; the ERV row is IF(yes, 1, 0).</t>
  </si>
  <si>
    <t>• Contingency (Summary B8): one %, applied to the whole-house subtotal; the Walls / Roof "with contingency" per-sf lines use the same cell.</t>
  </si>
  <si>
    <t>Geometry basis</t>
  </si>
  <si>
    <t>• docs/wall-contract.md and public/config/wall.config.json — the same numbers the 3D model renders (src/geometry/walls.js, src/geometry/roof.js). The designs presets in the config are the shed / flat values on the Roof tab.</t>
  </si>
  <si>
    <t>• Sequence: panels cast flat in a reusable bed (interior finish face down: skin, channel + mesh, studs, skin pour to 5"), cured 7 days, stood on the slab or floor panel, screwed together through the mating edge studs, anchored, wired and plumbed in the open cavity, closed with a 2" cladding sheet, cavity pumped full, continuous top track, then the roof strips are set and topped.</t>
  </si>
  <si>
    <t>• Shed (Option 3): the front wall A is 12'-6" so the roof plane rising 1"/ft over the 29'-11" depth lands on it; every wall-A panel carries a 40" × 24" clerestory opening above its door/window (sill 120). Walls B/D get a triangular rake infill under the slope. Flat (Option 1): all walls 10', no clerestory, the 1/16"/ft drainage slope is cast into the top pour (averaged over the plan depth), 12" front overhang.</t>
  </si>
  <si>
    <t>• Stud rule: regular studs at 0, 16, 32 … across the width while they sit inside the far edge by a flange, plus a closing edge stud. Studs whose line falls inside an opening become cripples above the head and below the sill (and between the window head and the clerestory sill on wall A); a jamb stud is added on each side of each opening — a window and the clerestory of the same width share their jamb lines; header (and sill) pieces of track run jamb to jamb.</t>
  </si>
  <si>
    <t>• Channel rows: from 12" in at 48" plus a closing row 12" from the far end — 3 rows on a 10' panel, 4 on a 12'-6" panel. A row whose station lies between the sill and the head of an opening loses the span across the opening. Spacers and channel-to-stud screws are counted at every channel/stud-segment crossing.</t>
  </si>
  <si>
    <t>• Cellular concrete: three wall volumes on the net wall area — skin pour depth, cladding thickness, cavity fill depth — plus the roof ground pour, top pour and the rake infill, all priced per yd³ as cement $/yd³ + foam $/yd³ (Ken: $200 + $20 at 600 lb Portland/yd³). Volumes ignore the steel, box and pipe displacement (well under 1 %).</t>
  </si>
  <si>
    <t>Assumptions that are not in the model config (yellow)</t>
  </si>
  <si>
    <t>• Stud-to-track screws: 4 per stud-segment end (2 per flange); cladding screws: 12 per panel; steel cut waste 10 % on track, channel and cripples; concrete waste 10 %; mesh lap 10 %. Joints = panels (closed loop); joint screws per joint from the config (8) — the pattern is an open item for the PE.</t>
  </si>
  <si>
    <t>• Roof: 0.12 mh/sf framing, 0.03 mh/sf mesh, 1.5 mh/yd³ ground pour, 2.0 mh/yd³ top pour, 32 mh pick day (roof v6 basis); clerestory glazing $60/sf and the $1,500 crane day are allowances from docs/roof-options.html; Eco Finish $8/sf on the roof area. The 800S162-68 roof stud is carried at the 6" 68-mil list rate as a proxy.</t>
  </si>
  <si>
    <t>• Everything else: US mid-grade placeholder prices typed on 2026-09-06 (docs/house-items.json); quantities from the floor plan (rooms, fixtures, partitions ≈ 60 lf, base ≈ 300 lf) and the config (openings, MEP boxes).</t>
  </si>
  <si>
    <t>PLACEHOLDER WARNING</t>
  </si>
  <si>
    <t>• Only the cellular-concrete $/yd³ (Ken) and the steel list prices have a source. Every other yellow cell — ready-mix, gravel, rebar, mesh, screws, inserts, liner, lumber, crane, every Everything else price, every labor hour and the $35/mh loaded rate — is a placeholder for order-of-magnitude only. Replace each with a quote before the numbers are shown as a budget.</t>
  </si>
  <si>
    <t>What is NOT in this estimate</t>
  </si>
  <si>
    <t>• Septic system, land, furniture, landscaping, appliances beyond the listed ones (refrigerator, range, dishwasher, microwave, washer + dryer), concrete pump rental, freight, sales tax, financing. The exterior wall finish is a $0 line until Ken chooses a coating (no Eco Finish on the walls). Utility connections and excavation are allowances only.</t>
  </si>
  <si>
    <t>Steel price reference (not a quote)</t>
  </si>
  <si>
    <t>• Studs, track and channel unit prices are US Frame Factory's published list, updated 5/1/2025 (usframefactory.com/current-metal-stud-pricing): 600S162-54 $1.94/lf; 600T200-54 $1.94/lf (used as the proxy for the 600T125-54 track, which was not listed); 600S162-68 $2.42/lf (proxy for the 800S162-68 roof stud and the 800T track); CRC 150U50-54 $11.67 per 16 ft piece = $0.73/lf.</t>
  </si>
  <si>
    <t>• Other distributors listing the same sections (prices on request): Capital Materials, JB Materials, Pioneer Materials West, Tamarack Materials, Rocky Top Materials.</t>
  </si>
  <si>
    <t>How to update</t>
  </si>
  <si>
    <t>• Change any blue input and the quantities recalculate; replace every yellow price with a quote; pick the design, foundation and heating from the lists.</t>
  </si>
  <si>
    <t>• If the config, the plan or docs/house-items.json changes: run `npm run takeoff` then `python scripts/build-estimate.py` to regenerate this workbook, then open it in Excel once (or recalc through Excel COM) so the cached values refresh. LibreOffice-safe functions only (IF, SUMIF, INDEX/MATCH, ROUNDUP, SQRT, MOD, INT, MAX, MIN).</t>
  </si>
  <si>
    <t>Open items that move the numbers: stud gauge / PE sizing (54 mil walls, 8" 68-mil roof studs assumed), joint screw pattern, slab anchor spec and spacing, cavity fill mix and density, cellular concrete supplier mix (density, 7-day strength), rake infill casting detail, clerestory frames and their anchoring to the jambs, handling the 12'-6" panels in the bed and at the pick, sloped top track on walls B/D, the exterior wall finish, the HVAC choice, septic vs sewer.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</si>
</sst>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0.00"/>
    <numFmt numFmtId="165" formatCode="0.0"/>
    <numFmt numFmtId="166" formatCode="#,##0.0"/>
    <numFmt numFmtId="167" formatCode="\$#,##0"/>
    <numFmt numFmtId="168" formatCode="0\ &quot;panels&quot;"/>
    <numFmt numFmtId="169" formatCode="0\ &quot;in&quot;"/>
    <numFmt numFmtId="170" formatCode="#,##0\ &quot;sf&quot;"/>
    <numFmt numFmtId="171" formatCode="#,##0\ &quot;sf net&quot;"/>
    <numFmt numFmtId="172" formatCode="#,##0.0\ &quot;yd³&quot;"/>
    <numFmt numFmtId="173" formatCode="#,##0\ &quot;lb&quot;"/>
    <numFmt numFmtId="174" formatCode="0\ &quot;pcs&quot;"/>
    <numFmt numFmtId="175" formatCode="#,##0\ &quot;lf&quot;"/>
    <numFmt numFmtId="176" formatCode="0.0000"/>
    <numFmt numFmtId="177" formatCode="\$#,##0;\(\$#,##0\);\-"/>
    <numFmt numFmtId="178" formatCode="0.00\ &quot;h/unit&quot;"/>
    <numFmt numFmtId="179" formatCode="\$#,##0\ &quot;flat/unit&quot;"/>
    <numFmt numFmtId="180" formatCode="#,##0.0\ &quot;sf&quot;"/>
    <numFmt numFmtId="181" formatCode="0.0%"/>
    <numFmt numFmtId="182" formatCode="\$#,##0\ &quot;/panel&quot;"/>
    <numFmt numFmtId="183" formatCode="0.00\ &quot;ft&quot;"/>
    <numFmt numFmtId="184" formatCode="0\ &quot;ea&quot;"/>
    <numFmt numFmtId="185" formatCode="#,##0.0\ &quot;sf glass&quot;"/>
    <numFmt numFmtId="186" formatCode="0.0\ &quot;ft&quot;"/>
    <numFmt numFmtId="187" formatCode="#,##0.0\ &quot;yd³ rake&quot;"/>
    <numFmt numFmtId="188" formatCode="0\ &quot;cycles&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07">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80"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1"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1" fontId="7" fillId="4" borderId="0" xfId="0" applyNumberFormat="1" applyFont="1" applyFill="1"/>
    <xf numFmtId="0" fontId="0" fillId="4" borderId="0" xfId="0" applyFill="1"/>
    <xf numFmtId="0" fontId="4" fillId="0" borderId="0" xfId="0" applyFont="1"/>
    <xf numFmtId="164" fontId="13" fillId="0" borderId="0" xfId="0" applyNumberFormat="1" applyFont="1"/>
    <xf numFmtId="181"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1" fontId="7" fillId="5" borderId="0" xfId="0" applyNumberFormat="1" applyFont="1" applyFill="1"/>
    <xf numFmtId="0" fontId="2" fillId="5" borderId="0" xfId="0" applyFont="1" applyFill="1"/>
    <xf numFmtId="164" fontId="7" fillId="0" borderId="1" xfId="0" applyNumberFormat="1" applyFont="1" applyBorder="1"/>
    <xf numFmtId="164" fontId="6" fillId="0" borderId="1" xfId="0" applyNumberFormat="1" applyFont="1" applyBorder="1"/>
    <xf numFmtId="182" fontId="6" fillId="0" borderId="0" xfId="0" applyNumberFormat="1" applyFont="1"/>
    <xf numFmtId="168" fontId="6" fillId="0" borderId="1" xfId="0" applyNumberFormat="1" applyFont="1" applyBorder="1"/>
    <xf numFmtId="169" fontId="6" fillId="0" borderId="1" xfId="0" applyNumberFormat="1" applyFont="1" applyBorder="1"/>
    <xf numFmtId="183" fontId="6" fillId="0" borderId="0" xfId="0" applyNumberFormat="1" applyFont="1"/>
    <xf numFmtId="184" fontId="6" fillId="0" borderId="1" xfId="0" applyNumberFormat="1" applyFont="1" applyBorder="1"/>
    <xf numFmtId="185" fontId="6" fillId="0" borderId="0" xfId="0" applyNumberFormat="1" applyFont="1"/>
    <xf numFmtId="186" fontId="6" fillId="0" borderId="1" xfId="0" applyNumberFormat="1" applyFont="1" applyBorder="1"/>
    <xf numFmtId="186" fontId="6" fillId="0" borderId="0" xfId="0" applyNumberFormat="1" applyFont="1"/>
    <xf numFmtId="170" fontId="6" fillId="0" borderId="1" xfId="0" applyNumberFormat="1" applyFont="1" applyBorder="1"/>
    <xf numFmtId="171" fontId="6" fillId="0" borderId="0" xfId="0" applyNumberFormat="1" applyFont="1"/>
    <xf numFmtId="172" fontId="6" fillId="0" borderId="1" xfId="0" applyNumberFormat="1" applyFont="1" applyBorder="1"/>
    <xf numFmtId="172" fontId="6" fillId="0" borderId="0" xfId="0" applyNumberFormat="1" applyFont="1"/>
    <xf numFmtId="187" fontId="6" fillId="0" borderId="0" xfId="0" applyNumberFormat="1" applyFont="1"/>
    <xf numFmtId="176" fontId="6" fillId="0" borderId="0" xfId="0" applyNumberFormat="1" applyFont="1"/>
    <xf numFmtId="173" fontId="6" fillId="0" borderId="1" xfId="0" applyNumberFormat="1" applyFont="1" applyBorder="1"/>
    <xf numFmtId="174" fontId="6" fillId="0" borderId="1" xfId="0" applyNumberFormat="1" applyFont="1" applyBorder="1"/>
    <xf numFmtId="175" fontId="6" fillId="0" borderId="0" xfId="0" applyNumberFormat="1" applyFont="1"/>
    <xf numFmtId="175" fontId="6" fillId="0" borderId="1" xfId="0" applyNumberFormat="1" applyFont="1" applyBorder="1"/>
    <xf numFmtId="173" fontId="6" fillId="0" borderId="0" xfId="0" applyNumberFormat="1" applyFont="1"/>
    <xf numFmtId="188" fontId="6" fillId="0" borderId="1" xfId="0" applyNumberFormat="1" applyFont="1" applyBorder="1"/>
    <xf numFmtId="167" fontId="6" fillId="0" borderId="0" xfId="0" applyNumberFormat="1" applyFont="1"/>
    <xf numFmtId="0" fontId="1" fillId="0" borderId="0" xfId="0" applyFont="1"/>
    <xf numFmtId="168" fontId="7" fillId="0" borderId="1" xfId="0" applyNumberFormat="1" applyFont="1" applyBorder="1"/>
    <xf numFmtId="169" fontId="7" fillId="0" borderId="1" xfId="0" applyNumberFormat="1" applyFont="1" applyBorder="1"/>
    <xf numFmtId="170"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7" fillId="0" borderId="1" xfId="0" applyNumberFormat="1" applyFont="1" applyBorder="1"/>
    <xf numFmtId="175" fontId="13" fillId="0" borderId="0" xfId="0" applyNumberFormat="1" applyFont="1"/>
    <xf numFmtId="167" fontId="7" fillId="0" borderId="1" xfId="0" applyNumberFormat="1" applyFont="1" applyBorder="1"/>
    <xf numFmtId="0" fontId="5" fillId="0" borderId="1" xfId="0" applyFont="1" applyBorder="1"/>
    <xf numFmtId="0" fontId="6" fillId="0" borderId="1" xfId="0" applyFont="1" applyBorder="1"/>
    <xf numFmtId="1" fontId="6" fillId="0" borderId="1" xfId="0" applyNumberFormat="1" applyFont="1" applyBorder="1"/>
    <xf numFmtId="1" fontId="4"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167" fontId="13" fillId="0" borderId="0" xfId="0" applyNumberFormat="1" applyFont="1"/>
    <xf numFmtId="1" fontId="5" fillId="0" borderId="1" xfId="0" applyNumberFormat="1" applyFont="1" applyBorder="1"/>
    <xf numFmtId="176" fontId="4" fillId="0" borderId="1" xfId="0" applyNumberFormat="1" applyFont="1" applyBorder="1"/>
    <xf numFmtId="176" fontId="5" fillId="0" borderId="1" xfId="0" applyNumberFormat="1" applyFont="1" applyBorder="1"/>
    <xf numFmtId="167" fontId="4" fillId="0" borderId="0" xfId="0" applyNumberFormat="1" applyFont="1"/>
    <xf numFmtId="167" fontId="7" fillId="0" borderId="0" xfId="0" applyNumberFormat="1" applyFont="1"/>
    <xf numFmtId="177" fontId="4" fillId="0" borderId="0" xfId="0" applyNumberFormat="1" applyFont="1"/>
    <xf numFmtId="0" fontId="7" fillId="5" borderId="0" xfId="0" applyFont="1" applyFill="1"/>
    <xf numFmtId="167" fontId="7" fillId="5" borderId="0" xfId="0" applyNumberFormat="1" applyFont="1" applyFill="1"/>
    <xf numFmtId="173" fontId="4" fillId="0" borderId="1" xfId="0" applyNumberFormat="1" applyFont="1" applyBorder="1"/>
    <xf numFmtId="166" fontId="6" fillId="0" borderId="1" xfId="0" applyNumberFormat="1" applyFont="1" applyBorder="1"/>
    <xf numFmtId="3" fontId="5" fillId="0" borderId="1" xfId="0" applyNumberFormat="1" applyFont="1" applyBorder="1"/>
    <xf numFmtId="178" fontId="5" fillId="3" borderId="1" xfId="0" applyNumberFormat="1" applyFont="1" applyFill="1" applyBorder="1"/>
    <xf numFmtId="3" fontId="6" fillId="0" borderId="1" xfId="0" applyNumberFormat="1" applyFont="1" applyBorder="1"/>
    <xf numFmtId="179" fontId="5" fillId="3" borderId="1" xfId="0" applyNumberFormat="1" applyFont="1" applyFill="1" applyBorder="1"/>
    <xf numFmtId="166" fontId="5" fillId="0" borderId="1" xfId="0" applyNumberFormat="1" applyFont="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
  <sheetViews>
    <sheetView showGridLines="0" tabSelected="1" workbookViewId="0">
      <pane ySplit="4" topLeftCell="A5" activePane="bottomLeft" state="frozen"/>
      <selection pane="bottomLeft"/>
    </sheetView>
  </sheetViews>
  <sheetFormatPr defaultRowHeight="14.4" x14ac:dyDescent="0.3"/>
  <cols>
    <col min="1" max="1" width="44"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row>
    <row r="5" spans="1:7" x14ac:dyDescent="0.3">
      <c r="A5" s="4" t="s">
        <v>8</v>
      </c>
      <c r="B5" s="5"/>
      <c r="C5" s="5"/>
      <c r="D5" s="5"/>
      <c r="E5" s="5"/>
      <c r="F5" s="5"/>
      <c r="G5" s="5"/>
    </row>
    <row r="6" spans="1:7" x14ac:dyDescent="0.3">
      <c r="A6" s="6" t="s">
        <v>9</v>
      </c>
      <c r="B6" s="7" t="s">
        <v>10</v>
      </c>
      <c r="C6" s="2" t="s">
        <v>11</v>
      </c>
    </row>
    <row r="7" spans="1:7" x14ac:dyDescent="0.3">
      <c r="A7" s="6" t="s">
        <v>12</v>
      </c>
      <c r="B7" s="7" t="s">
        <v>13</v>
      </c>
      <c r="C7" s="2" t="s">
        <v>14</v>
      </c>
    </row>
    <row r="8" spans="1:7" x14ac:dyDescent="0.3">
      <c r="A8" s="6" t="s">
        <v>15</v>
      </c>
      <c r="B8" s="8">
        <v>0.1</v>
      </c>
      <c r="C8" s="2" t="s">
        <v>16</v>
      </c>
    </row>
    <row r="9" spans="1:7" x14ac:dyDescent="0.3">
      <c r="A9" s="6" t="s">
        <v>17</v>
      </c>
      <c r="B9" s="9">
        <v>1066.3</v>
      </c>
      <c r="C9" s="2" t="s">
        <v>18</v>
      </c>
    </row>
    <row r="10" spans="1:7" x14ac:dyDescent="0.3">
      <c r="A10" s="2" t="s">
        <v>19</v>
      </c>
      <c r="C10" s="10" t="str">
        <f>"Heating option "&amp;'Everything else'!$B$51&amp;", ERV "&amp;'Everything else'!$B$52</f>
        <v>Heating option A, ERV yes</v>
      </c>
    </row>
    <row r="12" spans="1:7" x14ac:dyDescent="0.3">
      <c r="A12" s="4" t="s">
        <v>20</v>
      </c>
      <c r="B12" s="5"/>
      <c r="C12" s="5"/>
      <c r="D12" s="5"/>
      <c r="E12" s="5"/>
      <c r="F12" s="5"/>
      <c r="G12" s="5"/>
    </row>
    <row r="13" spans="1:7" x14ac:dyDescent="0.3">
      <c r="A13" s="11" t="s">
        <v>21</v>
      </c>
      <c r="B13" s="11" t="s">
        <v>22</v>
      </c>
      <c r="C13" s="11" t="s">
        <v>23</v>
      </c>
      <c r="D13" s="11" t="s">
        <v>24</v>
      </c>
      <c r="E13" s="11" t="s">
        <v>25</v>
      </c>
      <c r="F13" s="11" t="s">
        <v>26</v>
      </c>
      <c r="G13" s="11" t="s">
        <v>27</v>
      </c>
    </row>
    <row r="14" spans="1:7" x14ac:dyDescent="0.3">
      <c r="A14" s="3" t="s">
        <v>28</v>
      </c>
      <c r="B14" s="12">
        <f>IF(Summary!$B$7="A",'Floor options'!$G$112,'Floor options'!$G$113)</f>
        <v>5255.67012345679</v>
      </c>
      <c r="C14" s="12">
        <f>IF(Summary!$B$7="A",'Floor options'!$H$112,'Floor options'!$H$113)</f>
        <v>4574.2083333333339</v>
      </c>
      <c r="D14" s="13">
        <f t="shared" ref="D14:D27" si="0">B14+C14</f>
        <v>9829.8784567901239</v>
      </c>
      <c r="E14" s="14">
        <f>D14/Summary!$B$9</f>
        <v>9.2186799744819705</v>
      </c>
      <c r="F14" s="15">
        <f t="shared" ref="F14:F32" si="1">IF($D$32=0,0,D14/$D$32)</f>
        <v>3.8089065737462693E-2</v>
      </c>
      <c r="G14" s="2" t="s">
        <v>29</v>
      </c>
    </row>
    <row r="15" spans="1:7" x14ac:dyDescent="0.3">
      <c r="A15" s="3" t="s">
        <v>30</v>
      </c>
      <c r="B15" s="12">
        <f>Walls!$G$370</f>
        <v>19121.442836934159</v>
      </c>
      <c r="C15" s="12">
        <f>Walls!$H$370</f>
        <v>14706.886033950619</v>
      </c>
      <c r="D15" s="13">
        <f t="shared" si="0"/>
        <v>33828.328870884776</v>
      </c>
      <c r="E15" s="14">
        <f>D15/Summary!$B$9</f>
        <v>31.724963772751362</v>
      </c>
      <c r="F15" s="15">
        <f t="shared" si="1"/>
        <v>0.13107887832138915</v>
      </c>
      <c r="G15" s="2" t="s">
        <v>31</v>
      </c>
    </row>
    <row r="16" spans="1:7" x14ac:dyDescent="0.3">
      <c r="A16" s="3" t="s">
        <v>32</v>
      </c>
      <c r="B16" s="12">
        <f>Roof!$G$103</f>
        <v>37650.256715701704</v>
      </c>
      <c r="C16" s="12">
        <f>Roof!$H$103</f>
        <v>12318.422606799395</v>
      </c>
      <c r="D16" s="13">
        <f t="shared" si="0"/>
        <v>49968.679322501099</v>
      </c>
      <c r="E16" s="14">
        <f>D16/Summary!$B$9</f>
        <v>46.861745589891306</v>
      </c>
      <c r="F16" s="15">
        <f t="shared" si="1"/>
        <v>0.19361992316540128</v>
      </c>
      <c r="G16" s="2" t="s">
        <v>33</v>
      </c>
    </row>
    <row r="17" spans="1:7" x14ac:dyDescent="0.3">
      <c r="A17" s="3" t="s">
        <v>34</v>
      </c>
      <c r="B17" s="12">
        <f>'Everything else'!$E$26</f>
        <v>7580</v>
      </c>
      <c r="C17" s="12">
        <f>'Everything else'!$G$26</f>
        <v>3115</v>
      </c>
      <c r="D17" s="13">
        <f t="shared" si="0"/>
        <v>10695</v>
      </c>
      <c r="E17" s="14">
        <f>D17/Summary!$B$9</f>
        <v>10.030010316046141</v>
      </c>
      <c r="F17" s="15">
        <f t="shared" si="1"/>
        <v>4.1441260932455599E-2</v>
      </c>
      <c r="G17" s="2" t="s">
        <v>35</v>
      </c>
    </row>
    <row r="18" spans="1:7" x14ac:dyDescent="0.3">
      <c r="A18" s="3" t="s">
        <v>36</v>
      </c>
      <c r="B18" s="12">
        <f>'Everything else'!$E$38</f>
        <v>5550</v>
      </c>
      <c r="C18" s="12">
        <f>'Everything else'!$G$38</f>
        <v>2838.5</v>
      </c>
      <c r="D18" s="13">
        <f t="shared" si="0"/>
        <v>8388.5</v>
      </c>
      <c r="E18" s="14">
        <f>D18/Summary!$B$9</f>
        <v>7.8669230047828949</v>
      </c>
      <c r="F18" s="15">
        <f t="shared" si="1"/>
        <v>3.2503975440103208E-2</v>
      </c>
      <c r="G18" s="2" t="s">
        <v>37</v>
      </c>
    </row>
    <row r="19" spans="1:7" x14ac:dyDescent="0.3">
      <c r="A19" s="3" t="s">
        <v>38</v>
      </c>
      <c r="B19" s="12">
        <f>'Everything else'!$E$48</f>
        <v>2160</v>
      </c>
      <c r="C19" s="12">
        <f>'Everything else'!$G$48</f>
        <v>840</v>
      </c>
      <c r="D19" s="13">
        <f t="shared" si="0"/>
        <v>3000</v>
      </c>
      <c r="E19" s="14">
        <f>D19/Summary!$B$9</f>
        <v>2.8134671293257059</v>
      </c>
      <c r="F19" s="15">
        <f t="shared" si="1"/>
        <v>1.1624477119903394E-2</v>
      </c>
      <c r="G19" s="2" t="s">
        <v>39</v>
      </c>
    </row>
    <row r="20" spans="1:7" x14ac:dyDescent="0.3">
      <c r="A20" s="3" t="s">
        <v>40</v>
      </c>
      <c r="B20" s="12">
        <f>'Everything else'!$E$58</f>
        <v>6600</v>
      </c>
      <c r="C20" s="12">
        <f>'Everything else'!$G$58</f>
        <v>3000</v>
      </c>
      <c r="D20" s="13">
        <f t="shared" si="0"/>
        <v>9600</v>
      </c>
      <c r="E20" s="14">
        <f>D20/Summary!$B$9</f>
        <v>9.0030948138422584</v>
      </c>
      <c r="F20" s="15">
        <f t="shared" si="1"/>
        <v>3.7198326783690859E-2</v>
      </c>
      <c r="G20" s="2" t="s">
        <v>41</v>
      </c>
    </row>
    <row r="21" spans="1:7" x14ac:dyDescent="0.3">
      <c r="A21" s="3" t="s">
        <v>42</v>
      </c>
      <c r="B21" s="12">
        <f>'Everything else'!$E$71</f>
        <v>15900</v>
      </c>
      <c r="C21" s="12">
        <f>'Everything else'!$G$71</f>
        <v>2891</v>
      </c>
      <c r="D21" s="13">
        <f t="shared" si="0"/>
        <v>18791</v>
      </c>
      <c r="E21" s="14">
        <f>D21/Summary!$B$9</f>
        <v>17.622620275719779</v>
      </c>
      <c r="F21" s="15">
        <f t="shared" si="1"/>
        <v>7.2811849853368221E-2</v>
      </c>
      <c r="G21" s="2" t="s">
        <v>43</v>
      </c>
    </row>
    <row r="22" spans="1:7" x14ac:dyDescent="0.3">
      <c r="A22" s="3" t="s">
        <v>44</v>
      </c>
      <c r="B22" s="12">
        <f>'Everything else'!$E$79</f>
        <v>2310</v>
      </c>
      <c r="C22" s="12">
        <f>'Everything else'!$G$79</f>
        <v>4830</v>
      </c>
      <c r="D22" s="13">
        <f t="shared" si="0"/>
        <v>7140</v>
      </c>
      <c r="E22" s="14">
        <f>D22/Summary!$B$9</f>
        <v>6.6960517677951801</v>
      </c>
      <c r="F22" s="15">
        <f t="shared" si="1"/>
        <v>2.7666255545370076E-2</v>
      </c>
      <c r="G22" s="2" t="s">
        <v>45</v>
      </c>
    </row>
    <row r="23" spans="1:7" x14ac:dyDescent="0.3">
      <c r="A23" s="3" t="s">
        <v>46</v>
      </c>
      <c r="B23" s="12">
        <f>'Everything else'!$E$88</f>
        <v>6436.28</v>
      </c>
      <c r="C23" s="12">
        <f>'Everything else'!$G$88</f>
        <v>4396.4549999999999</v>
      </c>
      <c r="D23" s="13">
        <f t="shared" si="0"/>
        <v>10832.735000000001</v>
      </c>
      <c r="E23" s="14">
        <f>D23/Summary!$B$9</f>
        <v>10.159181281065367</v>
      </c>
      <c r="F23" s="15">
        <f t="shared" si="1"/>
        <v>4.1974960051158895E-2</v>
      </c>
      <c r="G23" s="2" t="s">
        <v>47</v>
      </c>
    </row>
    <row r="24" spans="1:7" x14ac:dyDescent="0.3">
      <c r="A24" s="3" t="s">
        <v>48</v>
      </c>
      <c r="B24" s="12">
        <f>'Everything else'!$E$100</f>
        <v>13100</v>
      </c>
      <c r="C24" s="12">
        <f>'Everything else'!$G$100</f>
        <v>2695</v>
      </c>
      <c r="D24" s="13">
        <f t="shared" si="0"/>
        <v>15795</v>
      </c>
      <c r="E24" s="14">
        <f>D24/Summary!$B$9</f>
        <v>14.812904435899842</v>
      </c>
      <c r="F24" s="15">
        <f t="shared" si="1"/>
        <v>6.1202872036291364E-2</v>
      </c>
      <c r="G24" s="2" t="s">
        <v>49</v>
      </c>
    </row>
    <row r="25" spans="1:7" x14ac:dyDescent="0.3">
      <c r="A25" s="3" t="s">
        <v>50</v>
      </c>
      <c r="B25" s="12">
        <f>'Everything else'!$E$108</f>
        <v>3956.8</v>
      </c>
      <c r="C25" s="12">
        <f>'Everything else'!$G$108</f>
        <v>4647.335</v>
      </c>
      <c r="D25" s="13">
        <f t="shared" si="0"/>
        <v>8604.1350000000002</v>
      </c>
      <c r="E25" s="14">
        <f>D25/Summary!$B$9</f>
        <v>8.0691503329269434</v>
      </c>
      <c r="F25" s="15">
        <f t="shared" si="1"/>
        <v>3.3339523481353328E-2</v>
      </c>
      <c r="G25" s="2" t="s">
        <v>51</v>
      </c>
    </row>
    <row r="26" spans="1:7" x14ac:dyDescent="0.3">
      <c r="A26" s="3" t="s">
        <v>52</v>
      </c>
      <c r="B26" s="12">
        <f>'Everything else'!$E$119</f>
        <v>9078</v>
      </c>
      <c r="C26" s="12">
        <f>'Everything else'!$G$119</f>
        <v>7904</v>
      </c>
      <c r="D26" s="13">
        <f t="shared" si="0"/>
        <v>16982</v>
      </c>
      <c r="E26" s="14">
        <f>D26/Summary!$B$9</f>
        <v>15.926099596736378</v>
      </c>
      <c r="F26" s="15">
        <f t="shared" si="1"/>
        <v>6.5802290150066473E-2</v>
      </c>
      <c r="G26" s="2" t="s">
        <v>53</v>
      </c>
    </row>
    <row r="27" spans="1:7" x14ac:dyDescent="0.3">
      <c r="A27" s="3" t="s">
        <v>54</v>
      </c>
      <c r="B27" s="12">
        <f>'Everything else'!$E$127</f>
        <v>10200</v>
      </c>
      <c r="C27" s="12">
        <f>'Everything else'!$G$127</f>
        <v>4200</v>
      </c>
      <c r="D27" s="13">
        <f t="shared" si="0"/>
        <v>14400</v>
      </c>
      <c r="E27" s="14">
        <f>D27/Summary!$B$9</f>
        <v>13.504642220763388</v>
      </c>
      <c r="F27" s="15">
        <f t="shared" si="1"/>
        <v>5.5797490175536292E-2</v>
      </c>
      <c r="G27" s="2" t="s">
        <v>55</v>
      </c>
    </row>
    <row r="28" spans="1:7" x14ac:dyDescent="0.3">
      <c r="A28" s="16" t="s">
        <v>56</v>
      </c>
      <c r="B28" s="17">
        <f>SUM(B14:B27)</f>
        <v>144898.44967609266</v>
      </c>
      <c r="C28" s="17">
        <f>SUM(C14:C27)</f>
        <v>72956.80697408336</v>
      </c>
      <c r="D28" s="17">
        <f>SUM(D14:D27)</f>
        <v>217855.25665017602</v>
      </c>
      <c r="E28" s="18">
        <f>D28/Summary!$B$9</f>
        <v>204.30953451202853</v>
      </c>
      <c r="F28" s="19">
        <f t="shared" si="1"/>
        <v>0.84415114879355091</v>
      </c>
      <c r="G28" s="20"/>
    </row>
    <row r="29" spans="1:7" x14ac:dyDescent="0.3">
      <c r="A29" s="21" t="s">
        <v>57</v>
      </c>
      <c r="B29" s="13">
        <f>B28*Summary!$B$8</f>
        <v>14489.844967609266</v>
      </c>
      <c r="C29" s="13">
        <f>C28*Summary!$B$8</f>
        <v>7295.6806974083365</v>
      </c>
      <c r="D29" s="13">
        <f>D28*Summary!$B$8</f>
        <v>21785.525665017602</v>
      </c>
      <c r="E29" s="22">
        <f>D29/Summary!$B$9</f>
        <v>20.430953451202853</v>
      </c>
      <c r="F29" s="23">
        <f t="shared" si="1"/>
        <v>8.4415114879355088E-2</v>
      </c>
      <c r="G29" s="2" t="s">
        <v>58</v>
      </c>
    </row>
    <row r="30" spans="1:7" x14ac:dyDescent="0.3">
      <c r="A30" s="21" t="s">
        <v>59</v>
      </c>
      <c r="B30" s="8">
        <v>0.2</v>
      </c>
      <c r="D30" s="13">
        <f>(D15+D16)*(1+Summary!$B$8)*$B$30</f>
        <v>18435.341802544895</v>
      </c>
      <c r="E30" s="22">
        <f>D30/Summary!$B$9</f>
        <v>17.28907605978139</v>
      </c>
      <c r="F30" s="23">
        <f t="shared" si="1"/>
        <v>7.1433736327093905E-2</v>
      </c>
      <c r="G30" s="2" t="s">
        <v>60</v>
      </c>
    </row>
    <row r="31" spans="1:7" x14ac:dyDescent="0.3">
      <c r="A31" s="21" t="s">
        <v>61</v>
      </c>
      <c r="B31" s="8">
        <v>0</v>
      </c>
      <c r="D31" s="13">
        <f>(D28*(1+Summary!$B$8)+D30)*$B$31</f>
        <v>0</v>
      </c>
      <c r="E31" s="22">
        <f>D31/Summary!$B$9</f>
        <v>0</v>
      </c>
      <c r="F31" s="23">
        <f t="shared" si="1"/>
        <v>0</v>
      </c>
      <c r="G31" s="2" t="s">
        <v>62</v>
      </c>
    </row>
    <row r="32" spans="1:7" ht="15.6" x14ac:dyDescent="0.3">
      <c r="A32" s="24" t="s">
        <v>63</v>
      </c>
      <c r="B32" s="25">
        <f>B28*(1+Summary!$B$8)</f>
        <v>159388.29464370193</v>
      </c>
      <c r="C32" s="25">
        <f>C28*(1+Summary!$B$8)</f>
        <v>80252.487671491705</v>
      </c>
      <c r="D32" s="26">
        <f>D28*(1+Summary!$B$8)+D30+D31</f>
        <v>258076.12411773854</v>
      </c>
      <c r="E32" s="27">
        <f>D32/Summary!$B$9</f>
        <v>242.0295640230128</v>
      </c>
      <c r="F32" s="28">
        <f t="shared" si="1"/>
        <v>1</v>
      </c>
      <c r="G32" s="29" t="s">
        <v>64</v>
      </c>
    </row>
    <row r="33" spans="1:7" x14ac:dyDescent="0.3">
      <c r="A33" s="21" t="s">
        <v>65</v>
      </c>
      <c r="B33" s="30">
        <f>D32/Summary!$B$9</f>
        <v>242.0295640230128</v>
      </c>
      <c r="G33" s="2" t="s">
        <v>66</v>
      </c>
    </row>
    <row r="34" spans="1:7" x14ac:dyDescent="0.3">
      <c r="A34" s="21" t="s">
        <v>67</v>
      </c>
      <c r="B34" s="14">
        <f>D32/'Floor options'!$B$9</f>
        <v>215.66249926273414</v>
      </c>
      <c r="G34" s="2" t="s">
        <v>68</v>
      </c>
    </row>
    <row r="35" spans="1:7" x14ac:dyDescent="0.3">
      <c r="A35" s="21" t="s">
        <v>69</v>
      </c>
      <c r="B35" s="14">
        <f>D32/Walls!$B$121</f>
        <v>176.76446857379352</v>
      </c>
      <c r="G35" s="2" t="s">
        <v>70</v>
      </c>
    </row>
    <row r="36" spans="1:7" x14ac:dyDescent="0.3">
      <c r="A36" s="21" t="s">
        <v>71</v>
      </c>
      <c r="B36" s="31">
        <f>Walls!$I$373</f>
        <v>25.487097094502229</v>
      </c>
      <c r="C36" s="32">
        <f>Walls!$I$372</f>
        <v>1094.445934058037</v>
      </c>
      <c r="G36" s="2" t="s">
        <v>72</v>
      </c>
    </row>
    <row r="37" spans="1:7" x14ac:dyDescent="0.3">
      <c r="A37" s="21" t="s">
        <v>73</v>
      </c>
      <c r="B37" s="31">
        <f>Roof!$I$105</f>
        <v>39.62074717275285</v>
      </c>
    </row>
    <row r="39" spans="1:7" x14ac:dyDescent="0.3">
      <c r="A39" s="4" t="s">
        <v>74</v>
      </c>
      <c r="B39" s="5"/>
      <c r="C39" s="5"/>
      <c r="D39" s="5"/>
      <c r="E39" s="5"/>
      <c r="F39" s="5"/>
      <c r="G39" s="5"/>
    </row>
    <row r="40" spans="1:7" x14ac:dyDescent="0.3">
      <c r="A40" s="21" t="s">
        <v>75</v>
      </c>
      <c r="B40" s="33">
        <f>Walls!$B$106</f>
        <v>34</v>
      </c>
      <c r="G40" s="2" t="s">
        <v>76</v>
      </c>
    </row>
    <row r="41" spans="1:7" x14ac:dyDescent="0.3">
      <c r="A41" s="21" t="s">
        <v>77</v>
      </c>
      <c r="B41" s="34">
        <f>Walls!$B$19</f>
        <v>150</v>
      </c>
      <c r="C41" s="35">
        <f>Walls!$B$19/12</f>
        <v>12.5</v>
      </c>
      <c r="G41" s="2" t="s">
        <v>78</v>
      </c>
    </row>
    <row r="42" spans="1:7" x14ac:dyDescent="0.3">
      <c r="A42" s="21" t="s">
        <v>79</v>
      </c>
      <c r="B42" s="36">
        <f>Walls!$B$43</f>
        <v>10</v>
      </c>
      <c r="C42" s="37">
        <f>Roof!$B$77</f>
        <v>66.666666666666671</v>
      </c>
      <c r="G42" s="2" t="s">
        <v>80</v>
      </c>
    </row>
    <row r="43" spans="1:7" x14ac:dyDescent="0.3">
      <c r="A43" s="21" t="s">
        <v>81</v>
      </c>
      <c r="B43" s="38">
        <f>Walls!$B$116/12</f>
        <v>40</v>
      </c>
      <c r="C43" s="39">
        <f>Walls!$B$117/12</f>
        <v>29.916666666666668</v>
      </c>
      <c r="G43" s="2" t="s">
        <v>82</v>
      </c>
    </row>
    <row r="44" spans="1:7" x14ac:dyDescent="0.3">
      <c r="A44" s="21" t="s">
        <v>83</v>
      </c>
      <c r="B44" s="40">
        <f>Walls!$B$121</f>
        <v>1460</v>
      </c>
      <c r="C44" s="41">
        <f>Walls!$B$123</f>
        <v>1181.8333333333335</v>
      </c>
      <c r="G44" s="2" t="s">
        <v>84</v>
      </c>
    </row>
    <row r="45" spans="1:7" x14ac:dyDescent="0.3">
      <c r="A45" s="21" t="s">
        <v>85</v>
      </c>
      <c r="B45" s="42">
        <f>Walls!$B$302</f>
        <v>41.947788065843625</v>
      </c>
      <c r="C45" s="43">
        <f>Walls!$B$303</f>
        <v>46.142566872427992</v>
      </c>
      <c r="G45" s="2" t="s">
        <v>86</v>
      </c>
    </row>
    <row r="46" spans="1:7" x14ac:dyDescent="0.3">
      <c r="A46" s="21" t="s">
        <v>87</v>
      </c>
      <c r="B46" s="42">
        <f>Roof!$B$74</f>
        <v>57.80383508743175</v>
      </c>
      <c r="C46" s="44">
        <f>Roof!$B$76</f>
        <v>2.4776663237311389</v>
      </c>
      <c r="G46" s="2" t="s">
        <v>88</v>
      </c>
    </row>
    <row r="47" spans="1:7" x14ac:dyDescent="0.3">
      <c r="A47" s="21" t="s">
        <v>89</v>
      </c>
      <c r="B47" s="40">
        <f>Roof!$B$60</f>
        <v>1387.2920420983621</v>
      </c>
      <c r="C47" s="45">
        <f>Roof!$B$57</f>
        <v>1.0034662148993578</v>
      </c>
      <c r="G47" s="2" t="s">
        <v>90</v>
      </c>
    </row>
    <row r="48" spans="1:7" x14ac:dyDescent="0.3">
      <c r="A48" s="21" t="s">
        <v>91</v>
      </c>
      <c r="B48" s="46">
        <f>(Walls!$B$303+(Roof!$B$74+Roof!$B$76)*(1+Walls!$B$84))*Walls!$B$80</f>
        <v>67471.331054824317</v>
      </c>
      <c r="G48" s="2" t="s">
        <v>92</v>
      </c>
    </row>
    <row r="49" spans="1:7" x14ac:dyDescent="0.3">
      <c r="A49" s="21" t="s">
        <v>93</v>
      </c>
      <c r="B49" s="47">
        <f>Walls!$B$282</f>
        <v>212</v>
      </c>
      <c r="C49" s="48">
        <f>Walls!$B$286</f>
        <v>1662</v>
      </c>
      <c r="G49" s="2" t="s">
        <v>94</v>
      </c>
    </row>
    <row r="50" spans="1:7" x14ac:dyDescent="0.3">
      <c r="A50" s="21" t="s">
        <v>95</v>
      </c>
      <c r="B50" s="49">
        <f>Roof!$B$67</f>
        <v>1189.107464655739</v>
      </c>
      <c r="G50" s="2" t="s">
        <v>96</v>
      </c>
    </row>
    <row r="51" spans="1:7" x14ac:dyDescent="0.3">
      <c r="A51" s="21" t="s">
        <v>97</v>
      </c>
      <c r="B51" s="46">
        <f>Roof!$B$75</f>
        <v>10616.6377110583</v>
      </c>
      <c r="C51" s="50">
        <f>Walls!$B$306</f>
        <v>879.16666666666674</v>
      </c>
      <c r="G51" s="2" t="s">
        <v>98</v>
      </c>
    </row>
    <row r="52" spans="1:7" x14ac:dyDescent="0.3">
      <c r="A52" s="21" t="s">
        <v>99</v>
      </c>
      <c r="B52" s="51">
        <f>Walls!$B$309</f>
        <v>9</v>
      </c>
      <c r="G52" s="2" t="s">
        <v>100</v>
      </c>
    </row>
    <row r="53" spans="1:7" x14ac:dyDescent="0.3">
      <c r="A53" s="21" t="s">
        <v>101</v>
      </c>
      <c r="B53" s="12">
        <f>'Floor options'!$I$112</f>
        <v>9829.8784567901239</v>
      </c>
      <c r="C53" s="52">
        <f>'Floor options'!$I$113</f>
        <v>27546.014283264747</v>
      </c>
      <c r="G53" s="2" t="s">
        <v>102</v>
      </c>
    </row>
    <row r="55" spans="1:7" x14ac:dyDescent="0.3">
      <c r="A55" s="4" t="s">
        <v>103</v>
      </c>
      <c r="B55" s="5"/>
      <c r="C55" s="5"/>
      <c r="D55" s="5"/>
      <c r="E55" s="5"/>
      <c r="F55" s="5"/>
      <c r="G55" s="5"/>
    </row>
    <row r="56" spans="1:7" ht="54" customHeight="1" x14ac:dyDescent="0.3">
      <c r="A56" s="105" t="s">
        <v>104</v>
      </c>
      <c r="B56" s="106"/>
      <c r="C56" s="106"/>
      <c r="D56" s="106"/>
      <c r="E56" s="106"/>
      <c r="F56" s="106"/>
      <c r="G56" s="106"/>
    </row>
    <row r="57" spans="1:7" ht="54" customHeight="1" x14ac:dyDescent="0.3">
      <c r="A57" s="105" t="s">
        <v>105</v>
      </c>
      <c r="B57" s="106"/>
      <c r="C57" s="106"/>
      <c r="D57" s="106"/>
      <c r="E57" s="106"/>
      <c r="F57" s="106"/>
      <c r="G57" s="106"/>
    </row>
    <row r="58" spans="1:7" ht="54" customHeight="1" x14ac:dyDescent="0.3">
      <c r="A58" s="105" t="s">
        <v>106</v>
      </c>
      <c r="B58" s="106"/>
      <c r="C58" s="106"/>
      <c r="D58" s="106"/>
      <c r="E58" s="106"/>
      <c r="F58" s="106"/>
      <c r="G58" s="106"/>
    </row>
    <row r="59" spans="1:7" x14ac:dyDescent="0.3">
      <c r="A59" s="2" t="s">
        <v>107</v>
      </c>
    </row>
  </sheetData>
  <mergeCells count="3">
    <mergeCell ref="A57:G57"/>
    <mergeCell ref="A58:G58"/>
    <mergeCell ref="A56:G56"/>
  </mergeCells>
  <dataValidations count="2">
    <dataValidation type="list" sqref="B6" xr:uid="{00000000-0002-0000-0000-000000000000}">
      <formula1>"shed,flat"</formula1>
    </dataValidation>
    <dataValidation type="list" sqref="B7" xr:uid="{00000000-0002-0000-0000-000001000000}">
      <formula1>"A,B"</formula1>
    </dataValidation>
  </dataValidations>
  <hyperlinks>
    <hyperlink ref="A3" location="'Walls'!A1" display="Walls →" xr:uid="{00000000-0004-0000-0000-000000000000}"/>
    <hyperlink ref="B3" location="'Roof'!A1" display="Roof →" xr:uid="{00000000-0004-0000-0000-000001000000}"/>
    <hyperlink ref="C3" location="'Floor options'!A1" display="Floor options →" xr:uid="{00000000-0004-0000-0000-000002000000}"/>
    <hyperlink ref="D3" location="'Everything else'!A1" display="Everything else →" xr:uid="{00000000-0004-0000-0000-000003000000}"/>
    <hyperlink ref="E3" location="'Model takeoff'!A1" display="Model takeoff →" xr:uid="{00000000-0004-0000-0000-000004000000}"/>
    <hyperlink ref="F3" location="'Notes'!A1" display="Notes →" xr:uid="{00000000-0004-0000-0000-000005000000}"/>
    <hyperlink ref="A14" location="'Floor options'!A1" display="Foundation (per the selector)" xr:uid="{00000000-0004-0000-0000-000006000000}"/>
    <hyperlink ref="A15" location="'Walls'!A1" display="Walls" xr:uid="{00000000-0004-0000-0000-000007000000}"/>
    <hyperlink ref="A16" location="'Roof'!A1" display="Roof (per the design)" xr:uid="{00000000-0004-0000-0000-000008000000}"/>
    <hyperlink ref="A17" location="'Everything else'!A1" display="Plumbing" xr:uid="{00000000-0004-0000-0000-000009000000}"/>
    <hyperlink ref="A18" location="'Everything else'!A1" display="Electrical" xr:uid="{00000000-0004-0000-0000-00000A000000}"/>
    <hyperlink ref="A19" location="'Everything else'!A1" display="Light fixtures" xr:uid="{00000000-0004-0000-0000-00000B000000}"/>
    <hyperlink ref="A20" location="'Everything else'!A1" display="Heating/cooling" xr:uid="{00000000-0004-0000-0000-00000C000000}"/>
    <hyperlink ref="A21" location="'Everything else'!A1" display="Kitchen" xr:uid="{00000000-0004-0000-0000-00000D000000}"/>
    <hyperlink ref="A22" location="'Everything else'!A1" display="Bathrooms" xr:uid="{00000000-0004-0000-0000-00000E000000}"/>
    <hyperlink ref="A23" location="'Everything else'!A1" display="Flooring" xr:uid="{00000000-0004-0000-0000-00000F000000}"/>
    <hyperlink ref="A24" location="'Everything else'!A1" display="Doors and windows" xr:uid="{00000000-0004-0000-0000-000010000000}"/>
    <hyperlink ref="A25" location="'Everything else'!A1" display="Interior finish" xr:uid="{00000000-0004-0000-0000-000011000000}"/>
    <hyperlink ref="A26" location="'Everything else'!A1" display="Exterior and site" xr:uid="{00000000-0004-0000-0000-000012000000}"/>
    <hyperlink ref="A27" location="'Everything else'!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6"/>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9" customWidth="1"/>
    <col min="5" max="5" width="40" customWidth="1"/>
    <col min="6" max="6" width="12" customWidth="1"/>
    <col min="7" max="9" width="13" customWidth="1"/>
    <col min="10" max="10" width="66" customWidth="1"/>
  </cols>
  <sheetData>
    <row r="1" spans="1:10" ht="17.399999999999999" x14ac:dyDescent="0.3">
      <c r="A1" s="53" t="s">
        <v>108</v>
      </c>
    </row>
    <row r="2" spans="1:10" x14ac:dyDescent="0.3">
      <c r="A2" s="2" t="s">
        <v>109</v>
      </c>
    </row>
    <row r="3" spans="1:10" x14ac:dyDescent="0.3">
      <c r="A3" s="2" t="s">
        <v>110</v>
      </c>
    </row>
    <row r="4" spans="1:10" x14ac:dyDescent="0.3">
      <c r="G4" s="3" t="s">
        <v>111</v>
      </c>
    </row>
    <row r="5" spans="1:10" x14ac:dyDescent="0.3">
      <c r="A5" s="4" t="s">
        <v>112</v>
      </c>
      <c r="B5" s="5"/>
      <c r="C5" s="5"/>
      <c r="D5" s="5"/>
      <c r="E5" s="5"/>
      <c r="F5" s="5"/>
      <c r="G5" s="5"/>
      <c r="H5" s="5"/>
      <c r="I5" s="5"/>
      <c r="J5" s="5"/>
    </row>
    <row r="6" spans="1:10" x14ac:dyDescent="0.3">
      <c r="A6" s="6" t="s">
        <v>75</v>
      </c>
      <c r="B6" s="54">
        <f>$B$106</f>
        <v>34</v>
      </c>
      <c r="D6" s="2" t="s">
        <v>113</v>
      </c>
    </row>
    <row r="7" spans="1:10" x14ac:dyDescent="0.3">
      <c r="A7" s="6" t="s">
        <v>77</v>
      </c>
      <c r="B7" s="55">
        <f>$B$19</f>
        <v>150</v>
      </c>
      <c r="D7" s="2" t="s">
        <v>114</v>
      </c>
    </row>
    <row r="8" spans="1:10" x14ac:dyDescent="0.3">
      <c r="A8" s="6" t="s">
        <v>115</v>
      </c>
      <c r="B8" s="56">
        <f>$B$121</f>
        <v>1460</v>
      </c>
      <c r="C8" s="57">
        <f>$B$123</f>
        <v>1181.8333333333335</v>
      </c>
      <c r="D8" s="2" t="s">
        <v>116</v>
      </c>
    </row>
    <row r="9" spans="1:10" x14ac:dyDescent="0.3">
      <c r="A9" s="6" t="s">
        <v>117</v>
      </c>
      <c r="B9" s="58">
        <f>$B$302</f>
        <v>41.947788065843625</v>
      </c>
      <c r="D9" s="2" t="s">
        <v>118</v>
      </c>
    </row>
    <row r="10" spans="1:10" x14ac:dyDescent="0.3">
      <c r="A10" s="6" t="s">
        <v>119</v>
      </c>
      <c r="B10" s="58">
        <f>$B$303</f>
        <v>46.142566872427992</v>
      </c>
      <c r="D10" s="2" t="s">
        <v>120</v>
      </c>
    </row>
    <row r="11" spans="1:10" x14ac:dyDescent="0.3">
      <c r="A11" s="6" t="s">
        <v>121</v>
      </c>
      <c r="B11" s="59">
        <f>$B$303*$B$80</f>
        <v>27685.540123456794</v>
      </c>
      <c r="D11" s="2" t="s">
        <v>122</v>
      </c>
    </row>
    <row r="12" spans="1:10" x14ac:dyDescent="0.3">
      <c r="A12" s="6" t="s">
        <v>123</v>
      </c>
      <c r="B12" s="60">
        <f>$B$282</f>
        <v>212</v>
      </c>
      <c r="C12" s="61">
        <f>$B$286</f>
        <v>1662</v>
      </c>
      <c r="D12" s="2" t="s">
        <v>124</v>
      </c>
    </row>
    <row r="13" spans="1:10" x14ac:dyDescent="0.3">
      <c r="A13" s="6" t="s">
        <v>125</v>
      </c>
      <c r="B13" s="62">
        <f>$I$370</f>
        <v>33828.328870884776</v>
      </c>
      <c r="D13" s="2" t="s">
        <v>126</v>
      </c>
    </row>
    <row r="14" spans="1:10" x14ac:dyDescent="0.3">
      <c r="A14" s="4" t="s">
        <v>127</v>
      </c>
      <c r="B14" s="5"/>
      <c r="C14" s="5"/>
      <c r="D14" s="5"/>
      <c r="E14" s="5"/>
      <c r="F14" s="5"/>
      <c r="G14" s="5"/>
      <c r="H14" s="5"/>
      <c r="I14" s="5"/>
      <c r="J14" s="5"/>
    </row>
    <row r="15" spans="1:10" x14ac:dyDescent="0.3">
      <c r="A15" s="21" t="s">
        <v>128</v>
      </c>
      <c r="B15" s="63">
        <v>10</v>
      </c>
      <c r="C15" s="2" t="s">
        <v>129</v>
      </c>
      <c r="D15" s="2" t="s">
        <v>130</v>
      </c>
    </row>
    <row r="16" spans="1:10" x14ac:dyDescent="0.3">
      <c r="A16" s="21" t="s">
        <v>131</v>
      </c>
      <c r="B16" s="63">
        <v>7</v>
      </c>
      <c r="C16" s="2" t="s">
        <v>129</v>
      </c>
      <c r="D16" s="2" t="s">
        <v>132</v>
      </c>
    </row>
    <row r="17" spans="1:4" x14ac:dyDescent="0.3">
      <c r="A17" s="21" t="s">
        <v>133</v>
      </c>
      <c r="B17" s="63">
        <v>48</v>
      </c>
      <c r="C17" s="2" t="s">
        <v>134</v>
      </c>
      <c r="D17" s="2" t="s">
        <v>135</v>
      </c>
    </row>
    <row r="18" spans="1:4" x14ac:dyDescent="0.3">
      <c r="A18" s="21" t="s">
        <v>136</v>
      </c>
      <c r="B18" s="63">
        <v>120</v>
      </c>
      <c r="C18" s="2" t="s">
        <v>134</v>
      </c>
      <c r="D18" s="2" t="s">
        <v>137</v>
      </c>
    </row>
    <row r="19" spans="1:4" x14ac:dyDescent="0.3">
      <c r="A19" s="21" t="s">
        <v>138</v>
      </c>
      <c r="B19" s="64">
        <f>Roof!$B$9</f>
        <v>150</v>
      </c>
      <c r="C19" s="2" t="s">
        <v>134</v>
      </c>
      <c r="D19" s="2" t="s">
        <v>139</v>
      </c>
    </row>
    <row r="20" spans="1:4" x14ac:dyDescent="0.3">
      <c r="A20" s="21" t="s">
        <v>140</v>
      </c>
      <c r="B20" s="65">
        <f>Roof!$B$10</f>
        <v>1</v>
      </c>
      <c r="C20" s="2"/>
      <c r="D20" s="2" t="s">
        <v>141</v>
      </c>
    </row>
    <row r="21" spans="1:4" x14ac:dyDescent="0.3">
      <c r="A21" s="21" t="s">
        <v>142</v>
      </c>
      <c r="B21" s="63">
        <v>2</v>
      </c>
      <c r="C21" s="2" t="s">
        <v>134</v>
      </c>
      <c r="D21" s="2"/>
    </row>
    <row r="22" spans="1:4" x14ac:dyDescent="0.3">
      <c r="A22" s="21" t="s">
        <v>143</v>
      </c>
      <c r="B22" s="63">
        <v>1.5</v>
      </c>
      <c r="C22" s="2" t="s">
        <v>134</v>
      </c>
      <c r="D22" s="2" t="s">
        <v>144</v>
      </c>
    </row>
    <row r="23" spans="1:4" x14ac:dyDescent="0.3">
      <c r="A23" s="21" t="s">
        <v>145</v>
      </c>
      <c r="B23" s="63">
        <v>6</v>
      </c>
      <c r="C23" s="2" t="s">
        <v>134</v>
      </c>
      <c r="D23" s="2"/>
    </row>
    <row r="24" spans="1:4" x14ac:dyDescent="0.3">
      <c r="A24" s="21" t="s">
        <v>146</v>
      </c>
      <c r="B24" s="63">
        <v>2</v>
      </c>
      <c r="C24" s="2" t="s">
        <v>134</v>
      </c>
      <c r="D24" s="2" t="s">
        <v>147</v>
      </c>
    </row>
    <row r="25" spans="1:4" x14ac:dyDescent="0.3">
      <c r="A25" s="21" t="s">
        <v>148</v>
      </c>
      <c r="B25" s="63">
        <v>5</v>
      </c>
      <c r="C25" s="2" t="s">
        <v>134</v>
      </c>
      <c r="D25" s="2" t="s">
        <v>149</v>
      </c>
    </row>
    <row r="26" spans="1:4" x14ac:dyDescent="0.3">
      <c r="A26" s="21" t="s">
        <v>150</v>
      </c>
      <c r="B26" s="63">
        <v>16</v>
      </c>
      <c r="C26" s="2" t="s">
        <v>151</v>
      </c>
      <c r="D26" s="2"/>
    </row>
    <row r="27" spans="1:4" x14ac:dyDescent="0.3">
      <c r="A27" s="21" t="s">
        <v>152</v>
      </c>
      <c r="B27" s="63">
        <v>1.625</v>
      </c>
      <c r="C27" s="2" t="s">
        <v>134</v>
      </c>
      <c r="D27" s="2" t="s">
        <v>153</v>
      </c>
    </row>
    <row r="28" spans="1:4" x14ac:dyDescent="0.3">
      <c r="A28" s="21" t="s">
        <v>154</v>
      </c>
      <c r="B28" s="63">
        <v>48</v>
      </c>
      <c r="C28" s="2" t="s">
        <v>134</v>
      </c>
      <c r="D28" s="2" t="s">
        <v>155</v>
      </c>
    </row>
    <row r="29" spans="1:4" x14ac:dyDescent="0.3">
      <c r="A29" s="21" t="s">
        <v>156</v>
      </c>
      <c r="B29" s="63">
        <v>12</v>
      </c>
      <c r="C29" s="2" t="s">
        <v>134</v>
      </c>
      <c r="D29" s="2"/>
    </row>
    <row r="30" spans="1:4" x14ac:dyDescent="0.3">
      <c r="A30" s="21" t="s">
        <v>157</v>
      </c>
      <c r="B30" s="63">
        <v>2</v>
      </c>
      <c r="C30" s="2" t="s">
        <v>158</v>
      </c>
      <c r="D30" s="2" t="s">
        <v>159</v>
      </c>
    </row>
    <row r="31" spans="1:4" x14ac:dyDescent="0.3">
      <c r="A31" s="21" t="s">
        <v>160</v>
      </c>
      <c r="B31" s="63">
        <v>2</v>
      </c>
      <c r="C31" s="2" t="s">
        <v>129</v>
      </c>
      <c r="D31" s="2"/>
    </row>
    <row r="32" spans="1:4" x14ac:dyDescent="0.3">
      <c r="A32" s="21" t="s">
        <v>161</v>
      </c>
      <c r="B32" s="7">
        <v>4</v>
      </c>
      <c r="C32" s="2" t="s">
        <v>129</v>
      </c>
      <c r="D32" s="2" t="s">
        <v>162</v>
      </c>
    </row>
    <row r="33" spans="1:10" x14ac:dyDescent="0.3">
      <c r="A33" s="21" t="s">
        <v>163</v>
      </c>
      <c r="B33" s="63">
        <v>8</v>
      </c>
      <c r="C33" s="2" t="s">
        <v>129</v>
      </c>
      <c r="D33" s="2" t="s">
        <v>164</v>
      </c>
    </row>
    <row r="34" spans="1:10" x14ac:dyDescent="0.3">
      <c r="A34" s="21" t="s">
        <v>165</v>
      </c>
      <c r="B34" s="7">
        <v>12</v>
      </c>
      <c r="C34" s="2" t="s">
        <v>129</v>
      </c>
      <c r="D34" s="2" t="s">
        <v>166</v>
      </c>
    </row>
    <row r="35" spans="1:10" x14ac:dyDescent="0.3">
      <c r="A35" s="21" t="s">
        <v>167</v>
      </c>
      <c r="B35" s="63">
        <v>2</v>
      </c>
      <c r="C35" s="2" t="s">
        <v>129</v>
      </c>
      <c r="D35" s="2" t="s">
        <v>168</v>
      </c>
    </row>
    <row r="36" spans="1:10" x14ac:dyDescent="0.3">
      <c r="A36" s="21" t="s">
        <v>169</v>
      </c>
      <c r="B36" s="63">
        <v>1</v>
      </c>
      <c r="C36" s="2" t="s">
        <v>129</v>
      </c>
      <c r="D36" s="2" t="s">
        <v>170</v>
      </c>
    </row>
    <row r="37" spans="1:10" x14ac:dyDescent="0.3">
      <c r="A37" s="21" t="s">
        <v>171</v>
      </c>
      <c r="B37" s="63">
        <v>16</v>
      </c>
      <c r="C37" s="2" t="s">
        <v>134</v>
      </c>
      <c r="D37" s="2" t="s">
        <v>172</v>
      </c>
    </row>
    <row r="38" spans="1:10" x14ac:dyDescent="0.3">
      <c r="A38" s="21" t="s">
        <v>173</v>
      </c>
      <c r="B38" s="63">
        <v>48</v>
      </c>
      <c r="C38" s="2" t="s">
        <v>134</v>
      </c>
      <c r="D38" s="2"/>
    </row>
    <row r="39" spans="1:10" x14ac:dyDescent="0.3">
      <c r="A39" s="21" t="s">
        <v>174</v>
      </c>
      <c r="B39" s="63">
        <v>2</v>
      </c>
      <c r="C39" s="2" t="s">
        <v>129</v>
      </c>
      <c r="D39" s="2" t="s">
        <v>175</v>
      </c>
    </row>
    <row r="40" spans="1:10" x14ac:dyDescent="0.3">
      <c r="A40" s="21" t="s">
        <v>176</v>
      </c>
      <c r="B40" s="63">
        <v>4</v>
      </c>
      <c r="C40" s="2" t="s">
        <v>129</v>
      </c>
      <c r="D40" s="2" t="s">
        <v>177</v>
      </c>
    </row>
    <row r="42" spans="1:10" x14ac:dyDescent="0.3">
      <c r="A42" s="4" t="s">
        <v>178</v>
      </c>
      <c r="B42" s="5"/>
      <c r="C42" s="5"/>
      <c r="D42" s="5"/>
      <c r="E42" s="5"/>
      <c r="F42" s="5"/>
      <c r="G42" s="5"/>
      <c r="H42" s="5"/>
      <c r="I42" s="5"/>
      <c r="J42" s="5"/>
    </row>
    <row r="43" spans="1:10" x14ac:dyDescent="0.3">
      <c r="A43" s="21" t="s">
        <v>179</v>
      </c>
      <c r="B43" s="66">
        <f>$B$20*$B$15</f>
        <v>10</v>
      </c>
      <c r="C43" s="2" t="s">
        <v>129</v>
      </c>
      <c r="D43" s="2" t="s">
        <v>180</v>
      </c>
    </row>
    <row r="44" spans="1:10" x14ac:dyDescent="0.3">
      <c r="A44" s="21" t="s">
        <v>181</v>
      </c>
      <c r="B44" s="63">
        <v>40</v>
      </c>
      <c r="C44" s="2" t="s">
        <v>134</v>
      </c>
      <c r="D44" s="2"/>
    </row>
    <row r="45" spans="1:10" x14ac:dyDescent="0.3">
      <c r="A45" s="21" t="s">
        <v>182</v>
      </c>
      <c r="B45" s="63">
        <v>24</v>
      </c>
      <c r="C45" s="2" t="s">
        <v>134</v>
      </c>
      <c r="D45" s="2"/>
    </row>
    <row r="46" spans="1:10" x14ac:dyDescent="0.3">
      <c r="A46" s="21" t="s">
        <v>183</v>
      </c>
      <c r="B46" s="63">
        <v>120</v>
      </c>
      <c r="C46" s="2" t="s">
        <v>134</v>
      </c>
      <c r="D46" s="2" t="s">
        <v>184</v>
      </c>
    </row>
    <row r="47" spans="1:10" x14ac:dyDescent="0.3">
      <c r="A47" s="21" t="s">
        <v>185</v>
      </c>
      <c r="B47" s="66">
        <f>1*$B$20</f>
        <v>1</v>
      </c>
      <c r="C47" s="2" t="s">
        <v>129</v>
      </c>
      <c r="D47" s="2" t="s">
        <v>186</v>
      </c>
    </row>
    <row r="48" spans="1:10" x14ac:dyDescent="0.3">
      <c r="A48" s="21" t="s">
        <v>187</v>
      </c>
      <c r="B48" s="63">
        <v>36</v>
      </c>
      <c r="C48" s="2" t="s">
        <v>134</v>
      </c>
      <c r="D48" s="2"/>
    </row>
    <row r="49" spans="1:4" x14ac:dyDescent="0.3">
      <c r="A49" s="21" t="s">
        <v>188</v>
      </c>
      <c r="B49" s="63">
        <v>84</v>
      </c>
      <c r="C49" s="2" t="s">
        <v>134</v>
      </c>
      <c r="D49" s="2"/>
    </row>
    <row r="50" spans="1:4" x14ac:dyDescent="0.3">
      <c r="A50" s="21" t="s">
        <v>189</v>
      </c>
      <c r="B50" s="63">
        <v>0</v>
      </c>
      <c r="C50" s="2" t="s">
        <v>134</v>
      </c>
      <c r="D50" s="2" t="s">
        <v>190</v>
      </c>
    </row>
    <row r="51" spans="1:4" x14ac:dyDescent="0.3">
      <c r="A51" s="21" t="s">
        <v>191</v>
      </c>
      <c r="B51" s="66">
        <f>7*$B$20</f>
        <v>7</v>
      </c>
      <c r="C51" s="2" t="s">
        <v>129</v>
      </c>
      <c r="D51" s="2" t="s">
        <v>192</v>
      </c>
    </row>
    <row r="52" spans="1:4" x14ac:dyDescent="0.3">
      <c r="A52" s="21" t="s">
        <v>193</v>
      </c>
      <c r="B52" s="63">
        <v>40</v>
      </c>
      <c r="C52" s="2" t="s">
        <v>134</v>
      </c>
      <c r="D52" s="2"/>
    </row>
    <row r="53" spans="1:4" x14ac:dyDescent="0.3">
      <c r="A53" s="21" t="s">
        <v>194</v>
      </c>
      <c r="B53" s="63">
        <v>72</v>
      </c>
      <c r="C53" s="2" t="s">
        <v>134</v>
      </c>
      <c r="D53" s="2"/>
    </row>
    <row r="54" spans="1:4" x14ac:dyDescent="0.3">
      <c r="A54" s="21" t="s">
        <v>195</v>
      </c>
      <c r="B54" s="63">
        <v>24</v>
      </c>
      <c r="C54" s="2" t="s">
        <v>134</v>
      </c>
      <c r="D54" s="2" t="s">
        <v>190</v>
      </c>
    </row>
    <row r="55" spans="1:4" x14ac:dyDescent="0.3">
      <c r="A55" s="21" t="s">
        <v>196</v>
      </c>
      <c r="B55" s="63">
        <v>1</v>
      </c>
      <c r="C55" s="2" t="s">
        <v>129</v>
      </c>
      <c r="D55" s="2" t="s">
        <v>197</v>
      </c>
    </row>
    <row r="56" spans="1:4" x14ac:dyDescent="0.3">
      <c r="A56" s="21" t="s">
        <v>193</v>
      </c>
      <c r="B56" s="63">
        <v>36</v>
      </c>
      <c r="C56" s="2" t="s">
        <v>134</v>
      </c>
      <c r="D56" s="2"/>
    </row>
    <row r="57" spans="1:4" x14ac:dyDescent="0.3">
      <c r="A57" s="21" t="s">
        <v>194</v>
      </c>
      <c r="B57" s="63">
        <v>42</v>
      </c>
      <c r="C57" s="2" t="s">
        <v>134</v>
      </c>
      <c r="D57" s="2"/>
    </row>
    <row r="58" spans="1:4" x14ac:dyDescent="0.3">
      <c r="A58" s="21" t="s">
        <v>195</v>
      </c>
      <c r="B58" s="63">
        <v>42</v>
      </c>
      <c r="C58" s="2" t="s">
        <v>134</v>
      </c>
      <c r="D58" s="2" t="s">
        <v>190</v>
      </c>
    </row>
    <row r="59" spans="1:4" x14ac:dyDescent="0.3">
      <c r="A59" s="21" t="s">
        <v>196</v>
      </c>
      <c r="B59" s="63">
        <v>3</v>
      </c>
      <c r="C59" s="2" t="s">
        <v>129</v>
      </c>
      <c r="D59" s="2" t="s">
        <v>198</v>
      </c>
    </row>
    <row r="60" spans="1:4" x14ac:dyDescent="0.3">
      <c r="A60" s="21" t="s">
        <v>193</v>
      </c>
      <c r="B60" s="63">
        <v>36</v>
      </c>
      <c r="C60" s="2" t="s">
        <v>134</v>
      </c>
      <c r="D60" s="2"/>
    </row>
    <row r="61" spans="1:4" x14ac:dyDescent="0.3">
      <c r="A61" s="21" t="s">
        <v>194</v>
      </c>
      <c r="B61" s="63">
        <v>48</v>
      </c>
      <c r="C61" s="2" t="s">
        <v>134</v>
      </c>
      <c r="D61" s="2"/>
    </row>
    <row r="62" spans="1:4" x14ac:dyDescent="0.3">
      <c r="A62" s="21" t="s">
        <v>195</v>
      </c>
      <c r="B62" s="63">
        <v>36</v>
      </c>
      <c r="C62" s="2" t="s">
        <v>134</v>
      </c>
      <c r="D62" s="2" t="s">
        <v>190</v>
      </c>
    </row>
    <row r="63" spans="1:4" x14ac:dyDescent="0.3">
      <c r="A63" s="21" t="s">
        <v>196</v>
      </c>
      <c r="B63" s="63">
        <v>1</v>
      </c>
      <c r="C63" s="2" t="s">
        <v>129</v>
      </c>
      <c r="D63" s="2" t="s">
        <v>199</v>
      </c>
    </row>
    <row r="64" spans="1:4" x14ac:dyDescent="0.3">
      <c r="A64" s="21" t="s">
        <v>193</v>
      </c>
      <c r="B64" s="63">
        <v>24</v>
      </c>
      <c r="C64" s="2" t="s">
        <v>134</v>
      </c>
      <c r="D64" s="2"/>
    </row>
    <row r="65" spans="1:10" x14ac:dyDescent="0.3">
      <c r="A65" s="21" t="s">
        <v>194</v>
      </c>
      <c r="B65" s="63">
        <v>24</v>
      </c>
      <c r="C65" s="2" t="s">
        <v>134</v>
      </c>
      <c r="D65" s="2"/>
    </row>
    <row r="66" spans="1:10" x14ac:dyDescent="0.3">
      <c r="A66" s="21" t="s">
        <v>195</v>
      </c>
      <c r="B66" s="63">
        <v>60</v>
      </c>
      <c r="C66" s="2" t="s">
        <v>134</v>
      </c>
      <c r="D66" s="2" t="s">
        <v>190</v>
      </c>
    </row>
    <row r="67" spans="1:10" x14ac:dyDescent="0.3">
      <c r="A67" s="21" t="s">
        <v>200</v>
      </c>
      <c r="B67" s="66">
        <f>1*(1-$B$20)</f>
        <v>0</v>
      </c>
      <c r="C67" s="2" t="s">
        <v>129</v>
      </c>
      <c r="D67" s="2" t="s">
        <v>201</v>
      </c>
    </row>
    <row r="68" spans="1:10" x14ac:dyDescent="0.3">
      <c r="A68" s="21" t="s">
        <v>187</v>
      </c>
      <c r="B68" s="63">
        <v>36</v>
      </c>
      <c r="C68" s="2" t="s">
        <v>134</v>
      </c>
      <c r="D68" s="2"/>
    </row>
    <row r="69" spans="1:10" x14ac:dyDescent="0.3">
      <c r="A69" s="21" t="s">
        <v>188</v>
      </c>
      <c r="B69" s="63">
        <v>84</v>
      </c>
      <c r="C69" s="2" t="s">
        <v>134</v>
      </c>
      <c r="D69" s="2"/>
    </row>
    <row r="70" spans="1:10" x14ac:dyDescent="0.3">
      <c r="A70" s="21" t="s">
        <v>189</v>
      </c>
      <c r="B70" s="63">
        <v>0</v>
      </c>
      <c r="C70" s="2" t="s">
        <v>134</v>
      </c>
      <c r="D70" s="2" t="s">
        <v>190</v>
      </c>
    </row>
    <row r="71" spans="1:10" x14ac:dyDescent="0.3">
      <c r="A71" s="21" t="s">
        <v>196</v>
      </c>
      <c r="B71" s="66">
        <f>7*(1-$B$20)</f>
        <v>0</v>
      </c>
      <c r="C71" s="2" t="s">
        <v>129</v>
      </c>
      <c r="D71" s="2" t="s">
        <v>202</v>
      </c>
    </row>
    <row r="72" spans="1:10" x14ac:dyDescent="0.3">
      <c r="A72" s="21" t="s">
        <v>193</v>
      </c>
      <c r="B72" s="63">
        <v>40</v>
      </c>
      <c r="C72" s="2" t="s">
        <v>134</v>
      </c>
      <c r="D72" s="2"/>
    </row>
    <row r="73" spans="1:10" x14ac:dyDescent="0.3">
      <c r="A73" s="21" t="s">
        <v>194</v>
      </c>
      <c r="B73" s="63">
        <v>72</v>
      </c>
      <c r="C73" s="2" t="s">
        <v>134</v>
      </c>
      <c r="D73" s="2"/>
    </row>
    <row r="74" spans="1:10" x14ac:dyDescent="0.3">
      <c r="A74" s="21" t="s">
        <v>195</v>
      </c>
      <c r="B74" s="63">
        <v>24</v>
      </c>
      <c r="C74" s="2" t="s">
        <v>134</v>
      </c>
      <c r="D74" s="2" t="s">
        <v>190</v>
      </c>
    </row>
    <row r="75" spans="1:10" x14ac:dyDescent="0.3">
      <c r="A75" s="21" t="s">
        <v>203</v>
      </c>
      <c r="B75" s="66">
        <f>$B$20*($B$15-($B$47+$B$51))</f>
        <v>2</v>
      </c>
      <c r="C75" s="2" t="s">
        <v>129</v>
      </c>
      <c r="D75" s="2" t="s">
        <v>204</v>
      </c>
    </row>
    <row r="77" spans="1:10" x14ac:dyDescent="0.3">
      <c r="A77" s="4" t="s">
        <v>205</v>
      </c>
      <c r="B77" s="5"/>
      <c r="C77" s="5"/>
      <c r="D77" s="5"/>
      <c r="E77" s="5"/>
      <c r="F77" s="5"/>
      <c r="G77" s="5"/>
      <c r="H77" s="5"/>
      <c r="I77" s="5"/>
      <c r="J77" s="5"/>
    </row>
    <row r="78" spans="1:10" x14ac:dyDescent="0.3">
      <c r="A78" s="21" t="s">
        <v>206</v>
      </c>
      <c r="B78" s="63">
        <v>35</v>
      </c>
      <c r="C78" s="2" t="s">
        <v>207</v>
      </c>
      <c r="D78" s="2" t="s">
        <v>208</v>
      </c>
    </row>
    <row r="79" spans="1:10" x14ac:dyDescent="0.3">
      <c r="A79" s="21" t="s">
        <v>209</v>
      </c>
      <c r="B79" s="63">
        <v>30</v>
      </c>
      <c r="C79" s="2" t="s">
        <v>207</v>
      </c>
      <c r="D79" s="2" t="s">
        <v>210</v>
      </c>
    </row>
    <row r="80" spans="1:10" x14ac:dyDescent="0.3">
      <c r="A80" s="21" t="s">
        <v>211</v>
      </c>
      <c r="B80" s="67">
        <v>600</v>
      </c>
      <c r="C80" s="2" t="s">
        <v>212</v>
      </c>
      <c r="D80" s="2" t="s">
        <v>213</v>
      </c>
    </row>
    <row r="81" spans="1:10" x14ac:dyDescent="0.3">
      <c r="A81" s="21" t="s">
        <v>214</v>
      </c>
      <c r="B81" s="68">
        <v>200</v>
      </c>
      <c r="C81" s="2" t="s">
        <v>215</v>
      </c>
      <c r="D81" s="2" t="s">
        <v>216</v>
      </c>
    </row>
    <row r="82" spans="1:10" x14ac:dyDescent="0.3">
      <c r="A82" s="21" t="s">
        <v>217</v>
      </c>
      <c r="B82" s="68">
        <v>20</v>
      </c>
      <c r="C82" s="2" t="s">
        <v>215</v>
      </c>
      <c r="D82" s="2" t="s">
        <v>218</v>
      </c>
    </row>
    <row r="83" spans="1:10" x14ac:dyDescent="0.3">
      <c r="A83" s="21" t="s">
        <v>219</v>
      </c>
      <c r="B83" s="7">
        <v>94</v>
      </c>
      <c r="C83" s="2" t="s">
        <v>220</v>
      </c>
      <c r="D83" s="2" t="s">
        <v>221</v>
      </c>
    </row>
    <row r="84" spans="1:10" x14ac:dyDescent="0.3">
      <c r="A84" s="21" t="s">
        <v>222</v>
      </c>
      <c r="B84" s="8">
        <v>0.1</v>
      </c>
      <c r="C84" s="2" t="s">
        <v>223</v>
      </c>
      <c r="D84" s="2" t="s">
        <v>224</v>
      </c>
    </row>
    <row r="85" spans="1:10" x14ac:dyDescent="0.3">
      <c r="A85" s="21" t="s">
        <v>225</v>
      </c>
      <c r="B85" s="8">
        <v>0.1</v>
      </c>
      <c r="C85" s="2" t="s">
        <v>223</v>
      </c>
      <c r="D85" s="2"/>
    </row>
    <row r="86" spans="1:10" x14ac:dyDescent="0.3">
      <c r="A86" s="21" t="s">
        <v>226</v>
      </c>
      <c r="B86" s="7">
        <v>540</v>
      </c>
      <c r="C86" s="2" t="s">
        <v>227</v>
      </c>
      <c r="D86" s="2" t="s">
        <v>228</v>
      </c>
    </row>
    <row r="87" spans="1:10" x14ac:dyDescent="0.3">
      <c r="A87" s="21" t="s">
        <v>229</v>
      </c>
      <c r="B87" s="8">
        <v>0.1</v>
      </c>
      <c r="C87" s="2" t="s">
        <v>223</v>
      </c>
      <c r="D87" s="2" t="s">
        <v>230</v>
      </c>
    </row>
    <row r="88" spans="1:10" x14ac:dyDescent="0.3">
      <c r="A88" s="21" t="s">
        <v>231</v>
      </c>
      <c r="B88" s="7">
        <v>10</v>
      </c>
      <c r="C88" s="2" t="s">
        <v>232</v>
      </c>
      <c r="D88" s="2" t="s">
        <v>233</v>
      </c>
    </row>
    <row r="89" spans="1:10" x14ac:dyDescent="0.3">
      <c r="A89" s="21" t="s">
        <v>234</v>
      </c>
      <c r="B89" s="7">
        <v>10</v>
      </c>
      <c r="C89" s="2" t="s">
        <v>232</v>
      </c>
      <c r="D89" s="2"/>
    </row>
    <row r="90" spans="1:10" x14ac:dyDescent="0.3">
      <c r="A90" s="21" t="s">
        <v>235</v>
      </c>
      <c r="B90" s="7">
        <v>16</v>
      </c>
      <c r="C90" s="2" t="s">
        <v>232</v>
      </c>
      <c r="D90" s="2" t="s">
        <v>236</v>
      </c>
    </row>
    <row r="91" spans="1:10" x14ac:dyDescent="0.3">
      <c r="A91" s="21" t="s">
        <v>237</v>
      </c>
      <c r="B91" s="69">
        <f>Summary!$B$8</f>
        <v>0.1</v>
      </c>
      <c r="C91" s="2" t="s">
        <v>223</v>
      </c>
      <c r="D91" s="2" t="s">
        <v>238</v>
      </c>
    </row>
    <row r="93" spans="1:10" x14ac:dyDescent="0.3">
      <c r="A93" s="4" t="s">
        <v>239</v>
      </c>
      <c r="B93" s="5"/>
      <c r="C93" s="5"/>
      <c r="D93" s="5"/>
      <c r="E93" s="5"/>
      <c r="F93" s="5"/>
      <c r="G93" s="5"/>
      <c r="H93" s="5"/>
      <c r="I93" s="5"/>
      <c r="J93" s="5"/>
    </row>
    <row r="94" spans="1:10" x14ac:dyDescent="0.3">
      <c r="A94" s="21" t="s">
        <v>240</v>
      </c>
      <c r="B94" s="68">
        <v>35</v>
      </c>
      <c r="C94" s="2" t="s">
        <v>241</v>
      </c>
      <c r="D94" s="2" t="s">
        <v>242</v>
      </c>
    </row>
    <row r="95" spans="1:10" x14ac:dyDescent="0.3">
      <c r="A95" s="21" t="s">
        <v>243</v>
      </c>
      <c r="B95" s="7">
        <v>16</v>
      </c>
      <c r="C95" s="2" t="s">
        <v>244</v>
      </c>
      <c r="D95" s="2" t="s">
        <v>245</v>
      </c>
    </row>
    <row r="96" spans="1:10" x14ac:dyDescent="0.3">
      <c r="A96" s="21" t="s">
        <v>246</v>
      </c>
      <c r="B96" s="70">
        <v>0.1</v>
      </c>
      <c r="C96" s="2" t="s">
        <v>247</v>
      </c>
      <c r="D96" s="2" t="s">
        <v>248</v>
      </c>
    </row>
    <row r="97" spans="1:10" x14ac:dyDescent="0.3">
      <c r="A97" s="21" t="s">
        <v>249</v>
      </c>
      <c r="B97" s="70">
        <v>0.03</v>
      </c>
      <c r="C97" s="2" t="s">
        <v>250</v>
      </c>
      <c r="D97" s="2" t="s">
        <v>251</v>
      </c>
    </row>
    <row r="98" spans="1:10" x14ac:dyDescent="0.3">
      <c r="A98" s="21" t="s">
        <v>252</v>
      </c>
      <c r="B98" s="71">
        <v>1.5</v>
      </c>
      <c r="C98" s="2" t="s">
        <v>253</v>
      </c>
      <c r="D98" s="2" t="s">
        <v>254</v>
      </c>
    </row>
    <row r="99" spans="1:10" x14ac:dyDescent="0.3">
      <c r="A99" s="21" t="s">
        <v>255</v>
      </c>
      <c r="B99" s="70">
        <v>1.5</v>
      </c>
      <c r="C99" s="2" t="s">
        <v>256</v>
      </c>
      <c r="D99" s="2" t="s">
        <v>257</v>
      </c>
    </row>
    <row r="100" spans="1:10" x14ac:dyDescent="0.3">
      <c r="A100" s="21" t="s">
        <v>258</v>
      </c>
      <c r="B100" s="70">
        <v>0.75</v>
      </c>
      <c r="C100" s="2" t="s">
        <v>256</v>
      </c>
      <c r="D100" s="2"/>
    </row>
    <row r="101" spans="1:10" x14ac:dyDescent="0.3">
      <c r="A101" s="21" t="s">
        <v>259</v>
      </c>
      <c r="B101" s="70">
        <v>1</v>
      </c>
      <c r="C101" s="2" t="s">
        <v>256</v>
      </c>
      <c r="D101" s="2" t="s">
        <v>260</v>
      </c>
    </row>
    <row r="102" spans="1:10" x14ac:dyDescent="0.3">
      <c r="A102" s="21" t="s">
        <v>261</v>
      </c>
      <c r="B102" s="70">
        <v>1</v>
      </c>
      <c r="C102" s="2" t="s">
        <v>256</v>
      </c>
      <c r="D102" s="2"/>
    </row>
    <row r="103" spans="1:10" x14ac:dyDescent="0.3">
      <c r="A103" s="21" t="s">
        <v>262</v>
      </c>
      <c r="B103" s="71">
        <v>2</v>
      </c>
      <c r="C103" s="2" t="s">
        <v>253</v>
      </c>
      <c r="D103" s="2" t="s">
        <v>263</v>
      </c>
    </row>
    <row r="105" spans="1:10" x14ac:dyDescent="0.3">
      <c r="A105" s="4" t="s">
        <v>264</v>
      </c>
      <c r="B105" s="5"/>
      <c r="C105" s="5"/>
      <c r="D105" s="5"/>
      <c r="E105" s="5"/>
      <c r="F105" s="5"/>
      <c r="G105" s="5"/>
      <c r="H105" s="5"/>
      <c r="I105" s="5"/>
      <c r="J105" s="5"/>
    </row>
    <row r="106" spans="1:10" x14ac:dyDescent="0.3">
      <c r="A106" s="21" t="s">
        <v>75</v>
      </c>
      <c r="B106" s="66">
        <f>2*($B$15+$B$16)</f>
        <v>34</v>
      </c>
      <c r="C106" s="2" t="s">
        <v>129</v>
      </c>
      <c r="D106" s="2" t="s">
        <v>113</v>
      </c>
    </row>
    <row r="107" spans="1:10" x14ac:dyDescent="0.3">
      <c r="A107" s="21" t="s">
        <v>265</v>
      </c>
      <c r="B107" s="66">
        <f>$B$16+$B$15+$B$16</f>
        <v>24</v>
      </c>
      <c r="C107" s="2" t="s">
        <v>129</v>
      </c>
      <c r="D107" s="2"/>
    </row>
    <row r="108" spans="1:10" x14ac:dyDescent="0.3">
      <c r="A108" s="21" t="s">
        <v>266</v>
      </c>
      <c r="B108" s="66">
        <f>$B$15</f>
        <v>10</v>
      </c>
      <c r="C108" s="2" t="s">
        <v>129</v>
      </c>
      <c r="D108" s="2"/>
    </row>
    <row r="109" spans="1:10" x14ac:dyDescent="0.3">
      <c r="A109" s="21" t="s">
        <v>267</v>
      </c>
      <c r="B109" s="66">
        <f>$B$47+$B$51+$B$55+$B$59+$B$63+$B$67+$B$71+$B$75</f>
        <v>15</v>
      </c>
      <c r="C109" s="2" t="s">
        <v>129</v>
      </c>
      <c r="D109" s="2"/>
    </row>
    <row r="110" spans="1:10" x14ac:dyDescent="0.3">
      <c r="A110" s="21" t="s">
        <v>268</v>
      </c>
      <c r="B110" s="66">
        <f>$B$107-($B$55+$B$59+$B$63)</f>
        <v>19</v>
      </c>
      <c r="C110" s="2" t="s">
        <v>129</v>
      </c>
      <c r="D110" s="2" t="s">
        <v>269</v>
      </c>
    </row>
    <row r="111" spans="1:10" x14ac:dyDescent="0.3">
      <c r="A111" s="21" t="s">
        <v>270</v>
      </c>
      <c r="B111" s="66">
        <f>$B$108-($B$47+$B$51+$B$67+$B$71+$B$75)</f>
        <v>0</v>
      </c>
      <c r="C111" s="2" t="s">
        <v>129</v>
      </c>
      <c r="D111" s="2" t="s">
        <v>269</v>
      </c>
    </row>
    <row r="112" spans="1:10" x14ac:dyDescent="0.3">
      <c r="A112" s="21" t="s">
        <v>271</v>
      </c>
      <c r="B112" s="66">
        <f>$B$110+$B$111</f>
        <v>19</v>
      </c>
      <c r="C112" s="2" t="s">
        <v>129</v>
      </c>
      <c r="D112" s="2"/>
    </row>
    <row r="113" spans="1:4" x14ac:dyDescent="0.3">
      <c r="A113" s="21" t="s">
        <v>272</v>
      </c>
      <c r="B113" s="72">
        <f>MAX($B$18,$B$19)</f>
        <v>150</v>
      </c>
      <c r="C113" s="2" t="s">
        <v>134</v>
      </c>
      <c r="D113" s="2" t="s">
        <v>273</v>
      </c>
    </row>
    <row r="114" spans="1:4" x14ac:dyDescent="0.3">
      <c r="A114" s="21" t="s">
        <v>274</v>
      </c>
      <c r="B114" s="72">
        <f>$B$21+$B$22+$B$23+$B$24</f>
        <v>11.5</v>
      </c>
      <c r="C114" s="2" t="s">
        <v>134</v>
      </c>
      <c r="D114" s="2" t="s">
        <v>275</v>
      </c>
    </row>
    <row r="115" spans="1:4" x14ac:dyDescent="0.3">
      <c r="A115" s="21" t="s">
        <v>276</v>
      </c>
      <c r="B115" s="72">
        <f>$B$114-$B$24-$B$25</f>
        <v>4.5</v>
      </c>
      <c r="C115" s="2" t="s">
        <v>134</v>
      </c>
      <c r="D115" s="2" t="s">
        <v>277</v>
      </c>
    </row>
    <row r="116" spans="1:4" x14ac:dyDescent="0.3">
      <c r="A116" s="21" t="s">
        <v>278</v>
      </c>
      <c r="B116" s="72">
        <f>$B$15*$B$17</f>
        <v>480</v>
      </c>
      <c r="C116" s="2" t="s">
        <v>134</v>
      </c>
      <c r="D116" s="2"/>
    </row>
    <row r="117" spans="1:4" x14ac:dyDescent="0.3">
      <c r="A117" s="21" t="s">
        <v>279</v>
      </c>
      <c r="B117" s="72">
        <f>$B$16*$B$17+2*$B$114</f>
        <v>359</v>
      </c>
      <c r="C117" s="2" t="s">
        <v>134</v>
      </c>
      <c r="D117" s="2" t="s">
        <v>280</v>
      </c>
    </row>
    <row r="118" spans="1:4" x14ac:dyDescent="0.3">
      <c r="A118" s="21" t="s">
        <v>281</v>
      </c>
      <c r="B118" s="73">
        <f>2*($B$116+$B$117)/12</f>
        <v>139.83333333333334</v>
      </c>
      <c r="C118" s="2" t="s">
        <v>282</v>
      </c>
      <c r="D118" s="2" t="s">
        <v>283</v>
      </c>
    </row>
    <row r="119" spans="1:4" x14ac:dyDescent="0.3">
      <c r="A119" s="21" t="s">
        <v>284</v>
      </c>
      <c r="B119" s="73">
        <f>$B$17*$B$18/144</f>
        <v>40</v>
      </c>
      <c r="C119" s="2" t="s">
        <v>285</v>
      </c>
      <c r="D119" s="2"/>
    </row>
    <row r="120" spans="1:4" x14ac:dyDescent="0.3">
      <c r="A120" s="21" t="s">
        <v>286</v>
      </c>
      <c r="B120" s="73">
        <f>$B$17*$B$113/144</f>
        <v>50</v>
      </c>
      <c r="C120" s="2" t="s">
        <v>285</v>
      </c>
      <c r="D120" s="2"/>
    </row>
    <row r="121" spans="1:4" x14ac:dyDescent="0.3">
      <c r="A121" s="21" t="s">
        <v>287</v>
      </c>
      <c r="B121" s="73">
        <f>$B$107*$B$17*$B$18/144+$B$108*$B$17*$B$19/144</f>
        <v>1460</v>
      </c>
      <c r="C121" s="2" t="s">
        <v>285</v>
      </c>
      <c r="D121" s="2" t="s">
        <v>288</v>
      </c>
    </row>
    <row r="122" spans="1:4" x14ac:dyDescent="0.3">
      <c r="A122" s="21" t="s">
        <v>289</v>
      </c>
      <c r="B122" s="73">
        <f>$B$47*($B$48*$B$49+$B$44*$B$45)/144+$B$51*($B$52*$B$53+$B$44*$B$45)/144+$B$55*($B$56*$B$57)/144+$B$59*($B$60*$B$61)/144+$B$63*($B$64*$B$65)/144+$B$67*($B$68*$B$69)/144+$B$71*($B$72*$B$73)/144+$B$75*($B$44*$B$45)/144</f>
        <v>278.16666666666663</v>
      </c>
      <c r="C122" s="2" t="s">
        <v>285</v>
      </c>
      <c r="D122" s="2"/>
    </row>
    <row r="123" spans="1:4" x14ac:dyDescent="0.3">
      <c r="A123" s="21" t="s">
        <v>290</v>
      </c>
      <c r="B123" s="73">
        <f>$B$121-$B$122</f>
        <v>1181.8333333333335</v>
      </c>
      <c r="C123" s="2" t="s">
        <v>285</v>
      </c>
      <c r="D123" s="2"/>
    </row>
    <row r="124" spans="1:4" x14ac:dyDescent="0.3">
      <c r="A124" s="21" t="s">
        <v>291</v>
      </c>
      <c r="B124" s="66">
        <f>INT(($B$17-$B$27)/$B$26)+1</f>
        <v>3</v>
      </c>
      <c r="C124" s="2" t="s">
        <v>129</v>
      </c>
      <c r="D124" s="2" t="s">
        <v>292</v>
      </c>
    </row>
    <row r="125" spans="1:4" x14ac:dyDescent="0.3">
      <c r="A125" s="21" t="s">
        <v>293</v>
      </c>
      <c r="B125" s="66">
        <f>$B$124+1</f>
        <v>4</v>
      </c>
      <c r="C125" s="2" t="s">
        <v>129</v>
      </c>
      <c r="D125" s="2" t="s">
        <v>294</v>
      </c>
    </row>
    <row r="126" spans="1:4" x14ac:dyDescent="0.3">
      <c r="A126" s="21" t="s">
        <v>295</v>
      </c>
      <c r="B126" s="66">
        <f>INT(($B$18-2*$B$29)/$B$28)+1+IF(MOD($B$18-2*$B$29,$B$28)&gt;0,1,0)</f>
        <v>3</v>
      </c>
      <c r="C126" s="2" t="s">
        <v>129</v>
      </c>
      <c r="D126" s="2" t="s">
        <v>296</v>
      </c>
    </row>
    <row r="127" spans="1:4" x14ac:dyDescent="0.3">
      <c r="A127" s="21" t="s">
        <v>297</v>
      </c>
      <c r="B127" s="66">
        <f>INT(($B$19-2*$B$29)/$B$28)+1+IF(MOD($B$19-2*$B$29,$B$28)&gt;0,1,0)</f>
        <v>4</v>
      </c>
      <c r="C127" s="2" t="s">
        <v>129</v>
      </c>
      <c r="D127" s="2" t="s">
        <v>296</v>
      </c>
    </row>
    <row r="128" spans="1:4" x14ac:dyDescent="0.3">
      <c r="A128" s="6" t="s">
        <v>298</v>
      </c>
    </row>
    <row r="129" spans="1:4" x14ac:dyDescent="0.3">
      <c r="A129" s="21" t="s">
        <v>299</v>
      </c>
      <c r="B129" s="66">
        <f>MAX(0,MIN(ROUNDUP((($B$17+$B$48)/2)/$B$26,0)-1,$B$124-1)-MAX(INT(((($B$17-$B$48)/2)-$B$27)/$B$26)+1,0)+1)</f>
        <v>2</v>
      </c>
      <c r="C129" s="2" t="s">
        <v>300</v>
      </c>
      <c r="D129" s="2" t="s">
        <v>301</v>
      </c>
    </row>
    <row r="130" spans="1:4" x14ac:dyDescent="0.3">
      <c r="A130" s="21" t="s">
        <v>302</v>
      </c>
      <c r="B130" s="66">
        <f>IF($B$50+$B$49&lt;$B$19,1,0)</f>
        <v>1</v>
      </c>
      <c r="C130" s="2"/>
      <c r="D130" s="2"/>
    </row>
    <row r="131" spans="1:4" x14ac:dyDescent="0.3">
      <c r="A131" s="21" t="s">
        <v>303</v>
      </c>
      <c r="B131" s="66">
        <f>IF($B$50&gt;0,1,0)</f>
        <v>0</v>
      </c>
      <c r="C131" s="2"/>
      <c r="D131" s="2"/>
    </row>
    <row r="132" spans="1:4" x14ac:dyDescent="0.3">
      <c r="A132" s="21" t="s">
        <v>304</v>
      </c>
      <c r="B132" s="66">
        <f>MAX(0,MIN($B$127-2,INT(($B$50+$B$49-$B$29)/$B$28))-MAX(0,ROUNDUP(($B$50-$B$29)/$B$28,0))+1)+IF(AND($B$19-$B$29&gt;=$B$50,$B$19-$B$29&lt;=$B$50+$B$49),1,0)</f>
        <v>2</v>
      </c>
      <c r="C132" s="2" t="s">
        <v>300</v>
      </c>
      <c r="D132" s="2" t="s">
        <v>305</v>
      </c>
    </row>
    <row r="133" spans="1:4" x14ac:dyDescent="0.3">
      <c r="A133" s="21" t="s">
        <v>306</v>
      </c>
      <c r="B133" s="66">
        <f>$B$131*IF(OR(AND(($B$50)&gt;=$B$29,($B$50)&lt;=$B$19-$B$29,MOD(($B$50)-$B$29,$B$28)=0),($B$50)=$B$19-$B$29),1,0)+$B$130*IF(OR(AND(($B$50+$B$49)&gt;=$B$29,($B$50+$B$49)&lt;=$B$19-$B$29,MOD(($B$50+$B$49)-$B$29,$B$28)=0),($B$50+$B$49)=$B$19-$B$29),1,0)</f>
        <v>0</v>
      </c>
      <c r="C133" s="2" t="s">
        <v>300</v>
      </c>
      <c r="D133" s="2" t="s">
        <v>307</v>
      </c>
    </row>
    <row r="134" spans="1:4" x14ac:dyDescent="0.3">
      <c r="A134" s="21" t="s">
        <v>308</v>
      </c>
      <c r="B134" s="66">
        <f>MAX(0,MIN(ROUNDUP((($B$17+$B$44)/2)/$B$26,0)-1,$B$124-1)-MAX(INT(((($B$17-$B$44)/2)-$B$27)/$B$26)+1,0)+1)</f>
        <v>2</v>
      </c>
      <c r="C134" s="2" t="s">
        <v>300</v>
      </c>
      <c r="D134" s="2" t="s">
        <v>301</v>
      </c>
    </row>
    <row r="135" spans="1:4" x14ac:dyDescent="0.3">
      <c r="A135" s="21" t="s">
        <v>309</v>
      </c>
      <c r="B135" s="66">
        <f>IF($B$46+$B$45&lt;$B$19,1,0)</f>
        <v>1</v>
      </c>
      <c r="C135" s="2"/>
      <c r="D135" s="2"/>
    </row>
    <row r="136" spans="1:4" x14ac:dyDescent="0.3">
      <c r="A136" s="21" t="s">
        <v>310</v>
      </c>
      <c r="B136" s="66">
        <f>IF($B$46&gt;0,1,0)</f>
        <v>1</v>
      </c>
      <c r="C136" s="2"/>
      <c r="D136" s="2"/>
    </row>
    <row r="137" spans="1:4" x14ac:dyDescent="0.3">
      <c r="A137" s="21" t="s">
        <v>311</v>
      </c>
      <c r="B137" s="66">
        <f>MAX(0,MIN($B$127-2,INT(($B$46+$B$45-$B$29)/$B$28))-MAX(0,ROUNDUP(($B$46-$B$29)/$B$28,0))+1)+IF(AND($B$19-$B$29&gt;=$B$46,$B$19-$B$29&lt;=$B$46+$B$45),1,0)</f>
        <v>1</v>
      </c>
      <c r="C137" s="2" t="s">
        <v>300</v>
      </c>
      <c r="D137" s="2" t="s">
        <v>305</v>
      </c>
    </row>
    <row r="138" spans="1:4" x14ac:dyDescent="0.3">
      <c r="A138" s="21" t="s">
        <v>312</v>
      </c>
      <c r="B138" s="66">
        <f>$B$136*IF(OR(AND(($B$46)&gt;=$B$29,($B$46)&lt;=$B$19-$B$29,MOD(($B$46)-$B$29,$B$28)=0),($B$46)=$B$19-$B$29),1,0)+$B$135*IF(OR(AND(($B$46+$B$45)&gt;=$B$29,($B$46+$B$45)&lt;=$B$19-$B$29,MOD(($B$46+$B$45)-$B$29,$B$28)=0),($B$46+$B$45)=$B$19-$B$29),1,0)</f>
        <v>0</v>
      </c>
      <c r="C138" s="2" t="s">
        <v>300</v>
      </c>
      <c r="D138" s="2" t="s">
        <v>307</v>
      </c>
    </row>
    <row r="139" spans="1:4" x14ac:dyDescent="0.3">
      <c r="A139" s="21" t="s">
        <v>313</v>
      </c>
      <c r="B139" s="66">
        <f>IF($B$46&gt;$B$50+$B$49,1,0)</f>
        <v>1</v>
      </c>
      <c r="C139" s="2"/>
      <c r="D139" s="2" t="s">
        <v>314</v>
      </c>
    </row>
    <row r="140" spans="1:4" x14ac:dyDescent="0.3">
      <c r="A140" s="21" t="s">
        <v>315</v>
      </c>
      <c r="B140" s="66">
        <f>MIN($B$129,$B$134)</f>
        <v>2</v>
      </c>
      <c r="C140" s="2" t="s">
        <v>300</v>
      </c>
      <c r="D140" s="2" t="s">
        <v>316</v>
      </c>
    </row>
    <row r="141" spans="1:4" x14ac:dyDescent="0.3">
      <c r="A141" s="21" t="s">
        <v>317</v>
      </c>
      <c r="B141" s="66">
        <f>MAX($B$129,$B$134)</f>
        <v>2</v>
      </c>
      <c r="C141" s="2" t="s">
        <v>300</v>
      </c>
      <c r="D141" s="2"/>
    </row>
    <row r="142" spans="1:4" x14ac:dyDescent="0.3">
      <c r="A142" s="21" t="s">
        <v>318</v>
      </c>
      <c r="B142" s="66">
        <f>$B$140*($B$131+$B$139+$B$135)+($B$129-$B$140)*($B$131+$B$130)+($B$134-$B$140)*($B$136+$B$135)</f>
        <v>4</v>
      </c>
      <c r="C142" s="2" t="s">
        <v>300</v>
      </c>
      <c r="D142" s="2" t="s">
        <v>319</v>
      </c>
    </row>
    <row r="143" spans="1:4" x14ac:dyDescent="0.3">
      <c r="A143" s="21" t="s">
        <v>320</v>
      </c>
      <c r="B143" s="73">
        <f>($B$140*($B$131*$B$50+$B$139*($B$46-$B$50-$B$49)+$B$135*($B$19-$B$46-$B$45))+($B$129-$B$140)*($B$131*$B$50+$B$130*($B$19-$B$50-$B$49))+($B$134-$B$140)*($B$136*$B$46+$B$135*($B$19-$B$46-$B$45)))/12</f>
        <v>7</v>
      </c>
      <c r="C143" s="2" t="s">
        <v>321</v>
      </c>
      <c r="D143" s="2"/>
    </row>
    <row r="144" spans="1:4" x14ac:dyDescent="0.3">
      <c r="A144" s="21" t="s">
        <v>322</v>
      </c>
      <c r="B144" s="66">
        <f>IF($B$48=$B$44,2,4)</f>
        <v>4</v>
      </c>
      <c r="C144" s="2" t="s">
        <v>300</v>
      </c>
      <c r="D144" s="2" t="s">
        <v>323</v>
      </c>
    </row>
    <row r="145" spans="1:4" x14ac:dyDescent="0.3">
      <c r="A145" s="21" t="s">
        <v>324</v>
      </c>
      <c r="B145" s="66">
        <f>$B$130+$B$131+$B$135+$B$136</f>
        <v>3</v>
      </c>
      <c r="C145" s="2" t="s">
        <v>300</v>
      </c>
      <c r="D145" s="2"/>
    </row>
    <row r="146" spans="1:4" x14ac:dyDescent="0.3">
      <c r="A146" s="21" t="s">
        <v>325</v>
      </c>
      <c r="B146" s="74">
        <f>(($B$130+$B$131)*($B$48+2*$B$27)+($B$135+$B$136)*($B$44+2*$B$27))/12</f>
        <v>10.479166666666666</v>
      </c>
      <c r="C146" s="2" t="s">
        <v>321</v>
      </c>
      <c r="D146" s="2" t="s">
        <v>326</v>
      </c>
    </row>
    <row r="147" spans="1:4" x14ac:dyDescent="0.3">
      <c r="A147" s="21" t="s">
        <v>327</v>
      </c>
      <c r="B147" s="66">
        <f>$B$127*($B$125-$B$141+$B$144)+($B$129-$B$140)*($B$127-$B$132+$B$133)+($B$134-$B$140)*($B$127-$B$137+$B$138)+$B$140*($B$127-$B$132-$B$137+($B$131*IF(OR(AND(($B$50)&gt;=$B$29,($B$50)&lt;=$B$19-$B$29,MOD(($B$50)-$B$29,$B$28)=0),($B$50)=$B$19-$B$29),1,0)+$B$139*(IF(OR(AND(($B$50+$B$49)&gt;=$B$29,($B$50+$B$49)&lt;=$B$19-$B$29,MOD(($B$50+$B$49)-$B$29,$B$28)=0),($B$50+$B$49)=$B$19-$B$29),1,0)+IF(OR(AND(($B$46)&gt;=$B$29,($B$46)&lt;=$B$19-$B$29,MOD(($B$46)-$B$29,$B$28)=0),($B$46)=$B$19-$B$29),1,0))+$B$135*IF(OR(AND(($B$46+$B$45)&gt;=$B$29,($B$46+$B$45)&lt;=$B$19-$B$29,MOD(($B$46+$B$45)-$B$29,$B$28)=0),($B$46+$B$45)=$B$19-$B$29),1,0)))</f>
        <v>26</v>
      </c>
      <c r="C147" s="2" t="s">
        <v>300</v>
      </c>
      <c r="D147" s="2" t="s">
        <v>328</v>
      </c>
    </row>
    <row r="148" spans="1:4" x14ac:dyDescent="0.3">
      <c r="A148" s="21" t="s">
        <v>329</v>
      </c>
      <c r="B148" s="73">
        <f>($B$127*$B$17-$B$132*$B$48-$B$137*$B$44)/12</f>
        <v>6.666666666666667</v>
      </c>
      <c r="C148" s="2" t="s">
        <v>321</v>
      </c>
      <c r="D148" s="2"/>
    </row>
    <row r="149" spans="1:4" x14ac:dyDescent="0.3">
      <c r="A149" s="21" t="s">
        <v>330</v>
      </c>
      <c r="B149" s="66">
        <f>$B$125-$B$141+$B$144+$B$142</f>
        <v>10</v>
      </c>
      <c r="C149" s="2" t="s">
        <v>300</v>
      </c>
      <c r="D149" s="2" t="s">
        <v>124</v>
      </c>
    </row>
    <row r="150" spans="1:4" x14ac:dyDescent="0.3">
      <c r="A150" s="21" t="s">
        <v>331</v>
      </c>
      <c r="B150" s="66">
        <f>$B$125-$B$141+$B$144</f>
        <v>6</v>
      </c>
      <c r="C150" s="2" t="s">
        <v>300</v>
      </c>
      <c r="D150" s="2"/>
    </row>
    <row r="151" spans="1:4" x14ac:dyDescent="0.3">
      <c r="A151" s="21" t="s">
        <v>332</v>
      </c>
      <c r="B151" s="74">
        <f>($B$19-$B$38)/12</f>
        <v>8.5</v>
      </c>
      <c r="C151" s="2" t="s">
        <v>282</v>
      </c>
      <c r="D151" s="2" t="s">
        <v>333</v>
      </c>
    </row>
    <row r="152" spans="1:4" x14ac:dyDescent="0.3">
      <c r="A152" s="6" t="s">
        <v>334</v>
      </c>
    </row>
    <row r="153" spans="1:4" x14ac:dyDescent="0.3">
      <c r="A153" s="21" t="s">
        <v>335</v>
      </c>
      <c r="B153" s="66">
        <f>MAX(0,MIN(ROUNDUP((($B$17+$B$52)/2)/$B$26,0)-1,$B$124-1)-MAX(INT(((($B$17-$B$52)/2)-$B$27)/$B$26)+1,0)+1)</f>
        <v>2</v>
      </c>
      <c r="C153" s="2" t="s">
        <v>300</v>
      </c>
      <c r="D153" s="2" t="s">
        <v>301</v>
      </c>
    </row>
    <row r="154" spans="1:4" x14ac:dyDescent="0.3">
      <c r="A154" s="21" t="s">
        <v>336</v>
      </c>
      <c r="B154" s="66">
        <f>IF($B$54+$B$53&lt;$B$19,1,0)</f>
        <v>1</v>
      </c>
      <c r="C154" s="2"/>
      <c r="D154" s="2"/>
    </row>
    <row r="155" spans="1:4" x14ac:dyDescent="0.3">
      <c r="A155" s="21" t="s">
        <v>337</v>
      </c>
      <c r="B155" s="66">
        <f>IF($B$54&gt;0,1,0)</f>
        <v>1</v>
      </c>
      <c r="C155" s="2"/>
      <c r="D155" s="2"/>
    </row>
    <row r="156" spans="1:4" x14ac:dyDescent="0.3">
      <c r="A156" s="21" t="s">
        <v>338</v>
      </c>
      <c r="B156" s="66">
        <f>MAX(0,MIN($B$127-2,INT(($B$54+$B$53-$B$29)/$B$28))-MAX(0,ROUNDUP(($B$54-$B$29)/$B$28,0))+1)+IF(AND($B$19-$B$29&gt;=$B$54,$B$19-$B$29&lt;=$B$54+$B$53),1,0)</f>
        <v>1</v>
      </c>
      <c r="C156" s="2" t="s">
        <v>300</v>
      </c>
      <c r="D156" s="2" t="s">
        <v>305</v>
      </c>
    </row>
    <row r="157" spans="1:4" x14ac:dyDescent="0.3">
      <c r="A157" s="21" t="s">
        <v>339</v>
      </c>
      <c r="B157" s="66">
        <f>$B$155*IF(OR(AND(($B$54)&gt;=$B$29,($B$54)&lt;=$B$19-$B$29,MOD(($B$54)-$B$29,$B$28)=0),($B$54)=$B$19-$B$29),1,0)+$B$154*IF(OR(AND(($B$54+$B$53)&gt;=$B$29,($B$54+$B$53)&lt;=$B$19-$B$29,MOD(($B$54+$B$53)-$B$29,$B$28)=0),($B$54+$B$53)=$B$19-$B$29),1,0)</f>
        <v>0</v>
      </c>
      <c r="C157" s="2" t="s">
        <v>300</v>
      </c>
      <c r="D157" s="2" t="s">
        <v>307</v>
      </c>
    </row>
    <row r="158" spans="1:4" x14ac:dyDescent="0.3">
      <c r="A158" s="21" t="s">
        <v>308</v>
      </c>
      <c r="B158" s="66">
        <f>MAX(0,MIN(ROUNDUP((($B$17+$B$44)/2)/$B$26,0)-1,$B$124-1)-MAX(INT(((($B$17-$B$44)/2)-$B$27)/$B$26)+1,0)+1)</f>
        <v>2</v>
      </c>
      <c r="C158" s="2" t="s">
        <v>300</v>
      </c>
      <c r="D158" s="2" t="s">
        <v>301</v>
      </c>
    </row>
    <row r="159" spans="1:4" x14ac:dyDescent="0.3">
      <c r="A159" s="21" t="s">
        <v>309</v>
      </c>
      <c r="B159" s="66">
        <f>IF($B$46+$B$45&lt;$B$19,1,0)</f>
        <v>1</v>
      </c>
      <c r="C159" s="2"/>
      <c r="D159" s="2"/>
    </row>
    <row r="160" spans="1:4" x14ac:dyDescent="0.3">
      <c r="A160" s="21" t="s">
        <v>310</v>
      </c>
      <c r="B160" s="66">
        <f>IF($B$46&gt;0,1,0)</f>
        <v>1</v>
      </c>
      <c r="C160" s="2"/>
      <c r="D160" s="2"/>
    </row>
    <row r="161" spans="1:4" x14ac:dyDescent="0.3">
      <c r="A161" s="21" t="s">
        <v>311</v>
      </c>
      <c r="B161" s="66">
        <f>MAX(0,MIN($B$127-2,INT(($B$46+$B$45-$B$29)/$B$28))-MAX(0,ROUNDUP(($B$46-$B$29)/$B$28,0))+1)+IF(AND($B$19-$B$29&gt;=$B$46,$B$19-$B$29&lt;=$B$46+$B$45),1,0)</f>
        <v>1</v>
      </c>
      <c r="C161" s="2" t="s">
        <v>300</v>
      </c>
      <c r="D161" s="2" t="s">
        <v>305</v>
      </c>
    </row>
    <row r="162" spans="1:4" x14ac:dyDescent="0.3">
      <c r="A162" s="21" t="s">
        <v>312</v>
      </c>
      <c r="B162" s="66">
        <f>$B$160*IF(OR(AND(($B$46)&gt;=$B$29,($B$46)&lt;=$B$19-$B$29,MOD(($B$46)-$B$29,$B$28)=0),($B$46)=$B$19-$B$29),1,0)+$B$159*IF(OR(AND(($B$46+$B$45)&gt;=$B$29,($B$46+$B$45)&lt;=$B$19-$B$29,MOD(($B$46+$B$45)-$B$29,$B$28)=0),($B$46+$B$45)=$B$19-$B$29),1,0)</f>
        <v>0</v>
      </c>
      <c r="C162" s="2" t="s">
        <v>300</v>
      </c>
      <c r="D162" s="2" t="s">
        <v>307</v>
      </c>
    </row>
    <row r="163" spans="1:4" x14ac:dyDescent="0.3">
      <c r="A163" s="21" t="s">
        <v>313</v>
      </c>
      <c r="B163" s="66">
        <f>IF($B$46&gt;$B$54+$B$53,1,0)</f>
        <v>1</v>
      </c>
      <c r="C163" s="2"/>
      <c r="D163" s="2" t="s">
        <v>314</v>
      </c>
    </row>
    <row r="164" spans="1:4" x14ac:dyDescent="0.3">
      <c r="A164" s="21" t="s">
        <v>315</v>
      </c>
      <c r="B164" s="66">
        <f>MIN($B$153,$B$158)</f>
        <v>2</v>
      </c>
      <c r="C164" s="2" t="s">
        <v>300</v>
      </c>
      <c r="D164" s="2" t="s">
        <v>316</v>
      </c>
    </row>
    <row r="165" spans="1:4" x14ac:dyDescent="0.3">
      <c r="A165" s="21" t="s">
        <v>317</v>
      </c>
      <c r="B165" s="66">
        <f>MAX($B$153,$B$158)</f>
        <v>2</v>
      </c>
      <c r="C165" s="2" t="s">
        <v>300</v>
      </c>
      <c r="D165" s="2"/>
    </row>
    <row r="166" spans="1:4" x14ac:dyDescent="0.3">
      <c r="A166" s="21" t="s">
        <v>318</v>
      </c>
      <c r="B166" s="66">
        <f>$B$164*($B$155+$B$163+$B$159)+($B$153-$B$164)*($B$155+$B$154)+($B$158-$B$164)*($B$160+$B$159)</f>
        <v>6</v>
      </c>
      <c r="C166" s="2" t="s">
        <v>300</v>
      </c>
      <c r="D166" s="2" t="s">
        <v>319</v>
      </c>
    </row>
    <row r="167" spans="1:4" x14ac:dyDescent="0.3">
      <c r="A167" s="21" t="s">
        <v>320</v>
      </c>
      <c r="B167" s="73">
        <f>($B$164*($B$155*$B$54+$B$163*($B$46-$B$54-$B$53)+$B$159*($B$19-$B$46-$B$45))+($B$153-$B$164)*($B$155*$B$54+$B$154*($B$19-$B$54-$B$53))+($B$158-$B$164)*($B$160*$B$46+$B$159*($B$19-$B$46-$B$45)))/12</f>
        <v>9</v>
      </c>
      <c r="C167" s="2" t="s">
        <v>321</v>
      </c>
      <c r="D167" s="2"/>
    </row>
    <row r="168" spans="1:4" x14ac:dyDescent="0.3">
      <c r="A168" s="21" t="s">
        <v>322</v>
      </c>
      <c r="B168" s="66">
        <f>IF($B$52=$B$44,2,4)</f>
        <v>2</v>
      </c>
      <c r="C168" s="2" t="s">
        <v>300</v>
      </c>
      <c r="D168" s="2" t="s">
        <v>323</v>
      </c>
    </row>
    <row r="169" spans="1:4" x14ac:dyDescent="0.3">
      <c r="A169" s="21" t="s">
        <v>324</v>
      </c>
      <c r="B169" s="66">
        <f>$B$154+$B$155+$B$159+$B$160</f>
        <v>4</v>
      </c>
      <c r="C169" s="2" t="s">
        <v>300</v>
      </c>
      <c r="D169" s="2"/>
    </row>
    <row r="170" spans="1:4" x14ac:dyDescent="0.3">
      <c r="A170" s="21" t="s">
        <v>325</v>
      </c>
      <c r="B170" s="74">
        <f>(($B$154+$B$155)*($B$52+2*$B$27)+($B$159+$B$160)*($B$44+2*$B$27))/12</f>
        <v>14.416666666666666</v>
      </c>
      <c r="C170" s="2" t="s">
        <v>321</v>
      </c>
      <c r="D170" s="2" t="s">
        <v>326</v>
      </c>
    </row>
    <row r="171" spans="1:4" x14ac:dyDescent="0.3">
      <c r="A171" s="21" t="s">
        <v>327</v>
      </c>
      <c r="B171" s="66">
        <f>$B$127*($B$125-$B$165+$B$168)+($B$153-$B$164)*($B$127-$B$156+$B$157)+($B$158-$B$164)*($B$127-$B$161+$B$162)+$B$164*($B$127-$B$156-$B$161+($B$155*IF(OR(AND(($B$54)&gt;=$B$29,($B$54)&lt;=$B$19-$B$29,MOD(($B$54)-$B$29,$B$28)=0),($B$54)=$B$19-$B$29),1,0)+$B$163*(IF(OR(AND(($B$54+$B$53)&gt;=$B$29,($B$54+$B$53)&lt;=$B$19-$B$29,MOD(($B$54+$B$53)-$B$29,$B$28)=0),($B$54+$B$53)=$B$19-$B$29),1,0)+IF(OR(AND(($B$46)&gt;=$B$29,($B$46)&lt;=$B$19-$B$29,MOD(($B$46)-$B$29,$B$28)=0),($B$46)=$B$19-$B$29),1,0))+$B$159*IF(OR(AND(($B$46+$B$45)&gt;=$B$29,($B$46+$B$45)&lt;=$B$19-$B$29,MOD(($B$46+$B$45)-$B$29,$B$28)=0),($B$46+$B$45)=$B$19-$B$29),1,0)))</f>
        <v>20</v>
      </c>
      <c r="C171" s="2" t="s">
        <v>300</v>
      </c>
      <c r="D171" s="2" t="s">
        <v>328</v>
      </c>
    </row>
    <row r="172" spans="1:4" x14ac:dyDescent="0.3">
      <c r="A172" s="21" t="s">
        <v>329</v>
      </c>
      <c r="B172" s="73">
        <f>($B$127*$B$17-$B$156*$B$52-$B$161*$B$44)/12</f>
        <v>9.3333333333333339</v>
      </c>
      <c r="C172" s="2" t="s">
        <v>321</v>
      </c>
      <c r="D172" s="2"/>
    </row>
    <row r="173" spans="1:4" x14ac:dyDescent="0.3">
      <c r="A173" s="21" t="s">
        <v>330</v>
      </c>
      <c r="B173" s="66">
        <f>$B$125-$B$165+$B$168+$B$166</f>
        <v>10</v>
      </c>
      <c r="C173" s="2" t="s">
        <v>300</v>
      </c>
      <c r="D173" s="2" t="s">
        <v>124</v>
      </c>
    </row>
    <row r="174" spans="1:4" x14ac:dyDescent="0.3">
      <c r="A174" s="21" t="s">
        <v>331</v>
      </c>
      <c r="B174" s="66">
        <f>$B$125-$B$165+$B$168</f>
        <v>4</v>
      </c>
      <c r="C174" s="2" t="s">
        <v>300</v>
      </c>
      <c r="D174" s="2"/>
    </row>
    <row r="175" spans="1:4" x14ac:dyDescent="0.3">
      <c r="A175" s="21" t="s">
        <v>332</v>
      </c>
      <c r="B175" s="74">
        <f>(IF($B$54&gt;$B$37,$B$54-$B$37,$B$19-$B$37))/12</f>
        <v>0.66666666666666663</v>
      </c>
      <c r="C175" s="2" t="s">
        <v>282</v>
      </c>
      <c r="D175" s="2" t="s">
        <v>333</v>
      </c>
    </row>
    <row r="176" spans="1:4" x14ac:dyDescent="0.3">
      <c r="A176" s="6" t="s">
        <v>340</v>
      </c>
    </row>
    <row r="177" spans="1:4" x14ac:dyDescent="0.3">
      <c r="A177" s="21" t="s">
        <v>335</v>
      </c>
      <c r="B177" s="66">
        <f>MAX(0,MIN(ROUNDUP((($B$17+$B$56)/2)/$B$26,0)-1,$B$124-1)-MAX(INT(((($B$17-$B$56)/2)-$B$27)/$B$26)+1,0)+1)</f>
        <v>2</v>
      </c>
      <c r="C177" s="2" t="s">
        <v>300</v>
      </c>
      <c r="D177" s="2" t="s">
        <v>301</v>
      </c>
    </row>
    <row r="178" spans="1:4" x14ac:dyDescent="0.3">
      <c r="A178" s="21" t="s">
        <v>336</v>
      </c>
      <c r="B178" s="66">
        <f>IF($B$58+$B$57&lt;$B$18,1,0)</f>
        <v>1</v>
      </c>
      <c r="C178" s="2"/>
      <c r="D178" s="2"/>
    </row>
    <row r="179" spans="1:4" x14ac:dyDescent="0.3">
      <c r="A179" s="21" t="s">
        <v>337</v>
      </c>
      <c r="B179" s="66">
        <f>IF($B$58&gt;0,1,0)</f>
        <v>1</v>
      </c>
      <c r="C179" s="2"/>
      <c r="D179" s="2"/>
    </row>
    <row r="180" spans="1:4" x14ac:dyDescent="0.3">
      <c r="A180" s="21" t="s">
        <v>338</v>
      </c>
      <c r="B180" s="66">
        <f>MAX(0,MIN($B$126-2,INT(($B$58+$B$57-$B$29)/$B$28))-MAX(0,ROUNDUP(($B$58-$B$29)/$B$28,0))+1)+IF(AND($B$18-$B$29&gt;=$B$58,$B$18-$B$29&lt;=$B$58+$B$57),1,0)</f>
        <v>1</v>
      </c>
      <c r="C180" s="2" t="s">
        <v>300</v>
      </c>
      <c r="D180" s="2" t="s">
        <v>305</v>
      </c>
    </row>
    <row r="181" spans="1:4" x14ac:dyDescent="0.3">
      <c r="A181" s="21" t="s">
        <v>339</v>
      </c>
      <c r="B181" s="66">
        <f>$B$179*IF(OR(AND(($B$58)&gt;=$B$29,($B$58)&lt;=$B$18-$B$29,MOD(($B$58)-$B$29,$B$28)=0),($B$58)=$B$18-$B$29),1,0)+$B$178*IF(OR(AND(($B$58+$B$57)&gt;=$B$29,($B$58+$B$57)&lt;=$B$18-$B$29,MOD(($B$58+$B$57)-$B$29,$B$28)=0),($B$58+$B$57)=$B$18-$B$29),1,0)</f>
        <v>0</v>
      </c>
      <c r="C181" s="2" t="s">
        <v>300</v>
      </c>
      <c r="D181" s="2" t="s">
        <v>307</v>
      </c>
    </row>
    <row r="182" spans="1:4" x14ac:dyDescent="0.3">
      <c r="A182" s="21" t="s">
        <v>341</v>
      </c>
      <c r="B182" s="66">
        <f>$B$177</f>
        <v>2</v>
      </c>
      <c r="C182" s="2" t="s">
        <v>300</v>
      </c>
      <c r="D182" s="2"/>
    </row>
    <row r="183" spans="1:4" x14ac:dyDescent="0.3">
      <c r="A183" s="21" t="s">
        <v>318</v>
      </c>
      <c r="B183" s="66">
        <f>$B$177*($B$178+$B$179)</f>
        <v>4</v>
      </c>
      <c r="C183" s="2" t="s">
        <v>300</v>
      </c>
      <c r="D183" s="2"/>
    </row>
    <row r="184" spans="1:4" x14ac:dyDescent="0.3">
      <c r="A184" s="21" t="s">
        <v>320</v>
      </c>
      <c r="B184" s="73">
        <f>$B$177*($B$179*$B$58+$B$178*($B$18-$B$58-$B$57))/12</f>
        <v>13</v>
      </c>
      <c r="C184" s="2" t="s">
        <v>321</v>
      </c>
      <c r="D184" s="2" t="s">
        <v>342</v>
      </c>
    </row>
    <row r="185" spans="1:4" x14ac:dyDescent="0.3">
      <c r="A185" s="21" t="s">
        <v>322</v>
      </c>
      <c r="B185" s="66">
        <f>2</f>
        <v>2</v>
      </c>
      <c r="C185" s="2" t="s">
        <v>300</v>
      </c>
      <c r="D185" s="2"/>
    </row>
    <row r="186" spans="1:4" x14ac:dyDescent="0.3">
      <c r="A186" s="21" t="s">
        <v>324</v>
      </c>
      <c r="B186" s="66">
        <f>$B$178+$B$179</f>
        <v>2</v>
      </c>
      <c r="C186" s="2" t="s">
        <v>300</v>
      </c>
      <c r="D186" s="2"/>
    </row>
    <row r="187" spans="1:4" x14ac:dyDescent="0.3">
      <c r="A187" s="21" t="s">
        <v>325</v>
      </c>
      <c r="B187" s="74">
        <f>($B$178+$B$179)*($B$56+2*$B$27)/12</f>
        <v>6.541666666666667</v>
      </c>
      <c r="C187" s="2" t="s">
        <v>321</v>
      </c>
      <c r="D187" s="2" t="s">
        <v>326</v>
      </c>
    </row>
    <row r="188" spans="1:4" x14ac:dyDescent="0.3">
      <c r="A188" s="21" t="s">
        <v>327</v>
      </c>
      <c r="B188" s="66">
        <f>$B$126*($B$125-$B$177+2)+$B$177*($B$126-$B$180+$B$181)</f>
        <v>16</v>
      </c>
      <c r="C188" s="2" t="s">
        <v>300</v>
      </c>
      <c r="D188" s="2" t="s">
        <v>343</v>
      </c>
    </row>
    <row r="189" spans="1:4" x14ac:dyDescent="0.3">
      <c r="A189" s="21" t="s">
        <v>329</v>
      </c>
      <c r="B189" s="73">
        <f>($B$126*$B$17-$B$180*$B$56)/12</f>
        <v>9</v>
      </c>
      <c r="C189" s="2" t="s">
        <v>321</v>
      </c>
      <c r="D189" s="2"/>
    </row>
    <row r="190" spans="1:4" x14ac:dyDescent="0.3">
      <c r="A190" s="21" t="s">
        <v>330</v>
      </c>
      <c r="B190" s="66">
        <f>$B$125-$B$182+$B$185+$B$183</f>
        <v>8</v>
      </c>
      <c r="C190" s="2" t="s">
        <v>300</v>
      </c>
      <c r="D190" s="2" t="s">
        <v>124</v>
      </c>
    </row>
    <row r="191" spans="1:4" x14ac:dyDescent="0.3">
      <c r="A191" s="21" t="s">
        <v>331</v>
      </c>
      <c r="B191" s="66">
        <f>$B$125-$B$182+$B$185</f>
        <v>4</v>
      </c>
      <c r="C191" s="2" t="s">
        <v>300</v>
      </c>
      <c r="D191" s="2"/>
    </row>
    <row r="192" spans="1:4" x14ac:dyDescent="0.3">
      <c r="A192" s="21" t="s">
        <v>332</v>
      </c>
      <c r="B192" s="74">
        <f>(IF($B$58&gt;$B$37,$B$58-$B$37,$B$18-$B$37))/12</f>
        <v>2.1666666666666665</v>
      </c>
      <c r="C192" s="2" t="s">
        <v>282</v>
      </c>
      <c r="D192" s="2" t="s">
        <v>333</v>
      </c>
    </row>
    <row r="193" spans="1:4" x14ac:dyDescent="0.3">
      <c r="A193" s="6" t="s">
        <v>344</v>
      </c>
    </row>
    <row r="194" spans="1:4" x14ac:dyDescent="0.3">
      <c r="A194" s="21" t="s">
        <v>335</v>
      </c>
      <c r="B194" s="66">
        <f>MAX(0,MIN(ROUNDUP((($B$17+$B$60)/2)/$B$26,0)-1,$B$124-1)-MAX(INT(((($B$17-$B$60)/2)-$B$27)/$B$26)+1,0)+1)</f>
        <v>2</v>
      </c>
      <c r="C194" s="2" t="s">
        <v>300</v>
      </c>
      <c r="D194" s="2" t="s">
        <v>301</v>
      </c>
    </row>
    <row r="195" spans="1:4" x14ac:dyDescent="0.3">
      <c r="A195" s="21" t="s">
        <v>336</v>
      </c>
      <c r="B195" s="66">
        <f>IF($B$62+$B$61&lt;$B$18,1,0)</f>
        <v>1</v>
      </c>
      <c r="C195" s="2"/>
      <c r="D195" s="2"/>
    </row>
    <row r="196" spans="1:4" x14ac:dyDescent="0.3">
      <c r="A196" s="21" t="s">
        <v>337</v>
      </c>
      <c r="B196" s="66">
        <f>IF($B$62&gt;0,1,0)</f>
        <v>1</v>
      </c>
      <c r="C196" s="2"/>
      <c r="D196" s="2"/>
    </row>
    <row r="197" spans="1:4" x14ac:dyDescent="0.3">
      <c r="A197" s="21" t="s">
        <v>338</v>
      </c>
      <c r="B197" s="66">
        <f>MAX(0,MIN($B$126-2,INT(($B$62+$B$61-$B$29)/$B$28))-MAX(0,ROUNDUP(($B$62-$B$29)/$B$28,0))+1)+IF(AND($B$18-$B$29&gt;=$B$62,$B$18-$B$29&lt;=$B$62+$B$61),1,0)</f>
        <v>1</v>
      </c>
      <c r="C197" s="2" t="s">
        <v>300</v>
      </c>
      <c r="D197" s="2" t="s">
        <v>305</v>
      </c>
    </row>
    <row r="198" spans="1:4" x14ac:dyDescent="0.3">
      <c r="A198" s="21" t="s">
        <v>339</v>
      </c>
      <c r="B198" s="66">
        <f>$B$196*IF(OR(AND(($B$62)&gt;=$B$29,($B$62)&lt;=$B$18-$B$29,MOD(($B$62)-$B$29,$B$28)=0),($B$62)=$B$18-$B$29),1,0)+$B$195*IF(OR(AND(($B$62+$B$61)&gt;=$B$29,($B$62+$B$61)&lt;=$B$18-$B$29,MOD(($B$62+$B$61)-$B$29,$B$28)=0),($B$62+$B$61)=$B$18-$B$29),1,0)</f>
        <v>0</v>
      </c>
      <c r="C198" s="2" t="s">
        <v>300</v>
      </c>
      <c r="D198" s="2" t="s">
        <v>307</v>
      </c>
    </row>
    <row r="199" spans="1:4" x14ac:dyDescent="0.3">
      <c r="A199" s="21" t="s">
        <v>341</v>
      </c>
      <c r="B199" s="66">
        <f>$B$194</f>
        <v>2</v>
      </c>
      <c r="C199" s="2" t="s">
        <v>300</v>
      </c>
      <c r="D199" s="2"/>
    </row>
    <row r="200" spans="1:4" x14ac:dyDescent="0.3">
      <c r="A200" s="21" t="s">
        <v>318</v>
      </c>
      <c r="B200" s="66">
        <f>$B$194*($B$195+$B$196)</f>
        <v>4</v>
      </c>
      <c r="C200" s="2" t="s">
        <v>300</v>
      </c>
      <c r="D200" s="2"/>
    </row>
    <row r="201" spans="1:4" x14ac:dyDescent="0.3">
      <c r="A201" s="21" t="s">
        <v>320</v>
      </c>
      <c r="B201" s="73">
        <f>$B$194*($B$196*$B$62+$B$195*($B$18-$B$62-$B$61))/12</f>
        <v>12</v>
      </c>
      <c r="C201" s="2" t="s">
        <v>321</v>
      </c>
      <c r="D201" s="2" t="s">
        <v>342</v>
      </c>
    </row>
    <row r="202" spans="1:4" x14ac:dyDescent="0.3">
      <c r="A202" s="21" t="s">
        <v>322</v>
      </c>
      <c r="B202" s="66">
        <f>2</f>
        <v>2</v>
      </c>
      <c r="C202" s="2" t="s">
        <v>300</v>
      </c>
      <c r="D202" s="2"/>
    </row>
    <row r="203" spans="1:4" x14ac:dyDescent="0.3">
      <c r="A203" s="21" t="s">
        <v>324</v>
      </c>
      <c r="B203" s="66">
        <f>$B$195+$B$196</f>
        <v>2</v>
      </c>
      <c r="C203" s="2" t="s">
        <v>300</v>
      </c>
      <c r="D203" s="2"/>
    </row>
    <row r="204" spans="1:4" x14ac:dyDescent="0.3">
      <c r="A204" s="21" t="s">
        <v>325</v>
      </c>
      <c r="B204" s="74">
        <f>($B$195+$B$196)*($B$60+2*$B$27)/12</f>
        <v>6.541666666666667</v>
      </c>
      <c r="C204" s="2" t="s">
        <v>321</v>
      </c>
      <c r="D204" s="2" t="s">
        <v>326</v>
      </c>
    </row>
    <row r="205" spans="1:4" x14ac:dyDescent="0.3">
      <c r="A205" s="21" t="s">
        <v>327</v>
      </c>
      <c r="B205" s="66">
        <f>$B$126*($B$125-$B$194+2)+$B$194*($B$126-$B$197+$B$198)</f>
        <v>16</v>
      </c>
      <c r="C205" s="2" t="s">
        <v>300</v>
      </c>
      <c r="D205" s="2" t="s">
        <v>343</v>
      </c>
    </row>
    <row r="206" spans="1:4" x14ac:dyDescent="0.3">
      <c r="A206" s="21" t="s">
        <v>329</v>
      </c>
      <c r="B206" s="73">
        <f>($B$126*$B$17-$B$197*$B$60)/12</f>
        <v>9</v>
      </c>
      <c r="C206" s="2" t="s">
        <v>321</v>
      </c>
      <c r="D206" s="2"/>
    </row>
    <row r="207" spans="1:4" x14ac:dyDescent="0.3">
      <c r="A207" s="21" t="s">
        <v>330</v>
      </c>
      <c r="B207" s="66">
        <f>$B$125-$B$199+$B$202+$B$200</f>
        <v>8</v>
      </c>
      <c r="C207" s="2" t="s">
        <v>300</v>
      </c>
      <c r="D207" s="2" t="s">
        <v>124</v>
      </c>
    </row>
    <row r="208" spans="1:4" x14ac:dyDescent="0.3">
      <c r="A208" s="21" t="s">
        <v>331</v>
      </c>
      <c r="B208" s="66">
        <f>$B$125-$B$199+$B$202</f>
        <v>4</v>
      </c>
      <c r="C208" s="2" t="s">
        <v>300</v>
      </c>
      <c r="D208" s="2"/>
    </row>
    <row r="209" spans="1:4" x14ac:dyDescent="0.3">
      <c r="A209" s="21" t="s">
        <v>332</v>
      </c>
      <c r="B209" s="74">
        <f>(IF($B$62&gt;$B$37,$B$62-$B$37,$B$18-$B$37))/12</f>
        <v>1.6666666666666667</v>
      </c>
      <c r="C209" s="2" t="s">
        <v>282</v>
      </c>
      <c r="D209" s="2" t="s">
        <v>333</v>
      </c>
    </row>
    <row r="210" spans="1:4" x14ac:dyDescent="0.3">
      <c r="A210" s="6" t="s">
        <v>345</v>
      </c>
    </row>
    <row r="211" spans="1:4" x14ac:dyDescent="0.3">
      <c r="A211" s="21" t="s">
        <v>335</v>
      </c>
      <c r="B211" s="66">
        <f>MAX(0,MIN(ROUNDUP((($B$17+$B$64)/2)/$B$26,0)-1,$B$124-1)-MAX(INT(((($B$17-$B$64)/2)-$B$27)/$B$26)+1,0)+1)</f>
        <v>2</v>
      </c>
      <c r="C211" s="2" t="s">
        <v>300</v>
      </c>
      <c r="D211" s="2" t="s">
        <v>301</v>
      </c>
    </row>
    <row r="212" spans="1:4" x14ac:dyDescent="0.3">
      <c r="A212" s="21" t="s">
        <v>336</v>
      </c>
      <c r="B212" s="66">
        <f>IF($B$66+$B$65&lt;$B$18,1,0)</f>
        <v>1</v>
      </c>
      <c r="C212" s="2"/>
      <c r="D212" s="2"/>
    </row>
    <row r="213" spans="1:4" x14ac:dyDescent="0.3">
      <c r="A213" s="21" t="s">
        <v>337</v>
      </c>
      <c r="B213" s="66">
        <f>IF($B$66&gt;0,1,0)</f>
        <v>1</v>
      </c>
      <c r="C213" s="2"/>
      <c r="D213" s="2"/>
    </row>
    <row r="214" spans="1:4" x14ac:dyDescent="0.3">
      <c r="A214" s="21" t="s">
        <v>338</v>
      </c>
      <c r="B214" s="66">
        <f>MAX(0,MIN($B$126-2,INT(($B$66+$B$65-$B$29)/$B$28))-MAX(0,ROUNDUP(($B$66-$B$29)/$B$28,0))+1)+IF(AND($B$18-$B$29&gt;=$B$66,$B$18-$B$29&lt;=$B$66+$B$65),1,0)</f>
        <v>1</v>
      </c>
      <c r="C214" s="2" t="s">
        <v>300</v>
      </c>
      <c r="D214" s="2" t="s">
        <v>305</v>
      </c>
    </row>
    <row r="215" spans="1:4" x14ac:dyDescent="0.3">
      <c r="A215" s="21" t="s">
        <v>339</v>
      </c>
      <c r="B215" s="66">
        <f>$B$213*IF(OR(AND(($B$66)&gt;=$B$29,($B$66)&lt;=$B$18-$B$29,MOD(($B$66)-$B$29,$B$28)=0),($B$66)=$B$18-$B$29),1,0)+$B$212*IF(OR(AND(($B$66+$B$65)&gt;=$B$29,($B$66+$B$65)&lt;=$B$18-$B$29,MOD(($B$66+$B$65)-$B$29,$B$28)=0),($B$66+$B$65)=$B$18-$B$29),1,0)</f>
        <v>1</v>
      </c>
      <c r="C215" s="2" t="s">
        <v>300</v>
      </c>
      <c r="D215" s="2" t="s">
        <v>307</v>
      </c>
    </row>
    <row r="216" spans="1:4" x14ac:dyDescent="0.3">
      <c r="A216" s="21" t="s">
        <v>341</v>
      </c>
      <c r="B216" s="66">
        <f>$B$211</f>
        <v>2</v>
      </c>
      <c r="C216" s="2" t="s">
        <v>300</v>
      </c>
      <c r="D216" s="2"/>
    </row>
    <row r="217" spans="1:4" x14ac:dyDescent="0.3">
      <c r="A217" s="21" t="s">
        <v>318</v>
      </c>
      <c r="B217" s="66">
        <f>$B$211*($B$212+$B$213)</f>
        <v>4</v>
      </c>
      <c r="C217" s="2" t="s">
        <v>300</v>
      </c>
      <c r="D217" s="2"/>
    </row>
    <row r="218" spans="1:4" x14ac:dyDescent="0.3">
      <c r="A218" s="21" t="s">
        <v>320</v>
      </c>
      <c r="B218" s="73">
        <f>$B$211*($B$213*$B$66+$B$212*($B$18-$B$66-$B$65))/12</f>
        <v>16</v>
      </c>
      <c r="C218" s="2" t="s">
        <v>321</v>
      </c>
      <c r="D218" s="2" t="s">
        <v>342</v>
      </c>
    </row>
    <row r="219" spans="1:4" x14ac:dyDescent="0.3">
      <c r="A219" s="21" t="s">
        <v>322</v>
      </c>
      <c r="B219" s="66">
        <f>2</f>
        <v>2</v>
      </c>
      <c r="C219" s="2" t="s">
        <v>300</v>
      </c>
      <c r="D219" s="2"/>
    </row>
    <row r="220" spans="1:4" x14ac:dyDescent="0.3">
      <c r="A220" s="21" t="s">
        <v>324</v>
      </c>
      <c r="B220" s="66">
        <f>$B$212+$B$213</f>
        <v>2</v>
      </c>
      <c r="C220" s="2" t="s">
        <v>300</v>
      </c>
      <c r="D220" s="2"/>
    </row>
    <row r="221" spans="1:4" x14ac:dyDescent="0.3">
      <c r="A221" s="21" t="s">
        <v>325</v>
      </c>
      <c r="B221" s="74">
        <f>($B$212+$B$213)*($B$64+2*$B$27)/12</f>
        <v>4.541666666666667</v>
      </c>
      <c r="C221" s="2" t="s">
        <v>321</v>
      </c>
      <c r="D221" s="2" t="s">
        <v>326</v>
      </c>
    </row>
    <row r="222" spans="1:4" x14ac:dyDescent="0.3">
      <c r="A222" s="21" t="s">
        <v>327</v>
      </c>
      <c r="B222" s="66">
        <f>$B$126*($B$125-$B$211+2)+$B$211*($B$126-$B$214+$B$215)</f>
        <v>18</v>
      </c>
      <c r="C222" s="2" t="s">
        <v>300</v>
      </c>
      <c r="D222" s="2" t="s">
        <v>343</v>
      </c>
    </row>
    <row r="223" spans="1:4" x14ac:dyDescent="0.3">
      <c r="A223" s="21" t="s">
        <v>329</v>
      </c>
      <c r="B223" s="73">
        <f>($B$126*$B$17-$B$214*$B$64)/12</f>
        <v>10</v>
      </c>
      <c r="C223" s="2" t="s">
        <v>321</v>
      </c>
      <c r="D223" s="2"/>
    </row>
    <row r="224" spans="1:4" x14ac:dyDescent="0.3">
      <c r="A224" s="21" t="s">
        <v>330</v>
      </c>
      <c r="B224" s="66">
        <f>$B$125-$B$216+$B$219+$B$217</f>
        <v>8</v>
      </c>
      <c r="C224" s="2" t="s">
        <v>300</v>
      </c>
      <c r="D224" s="2" t="s">
        <v>124</v>
      </c>
    </row>
    <row r="225" spans="1:4" x14ac:dyDescent="0.3">
      <c r="A225" s="21" t="s">
        <v>331</v>
      </c>
      <c r="B225" s="66">
        <f>$B$125-$B$216+$B$219</f>
        <v>4</v>
      </c>
      <c r="C225" s="2" t="s">
        <v>300</v>
      </c>
      <c r="D225" s="2"/>
    </row>
    <row r="226" spans="1:4" x14ac:dyDescent="0.3">
      <c r="A226" s="21" t="s">
        <v>332</v>
      </c>
      <c r="B226" s="74">
        <f>(IF($B$66&gt;$B$37,$B$66-$B$37,$B$18-$B$37))/12</f>
        <v>3.6666666666666665</v>
      </c>
      <c r="C226" s="2" t="s">
        <v>282</v>
      </c>
      <c r="D226" s="2" t="s">
        <v>333</v>
      </c>
    </row>
    <row r="227" spans="1:4" x14ac:dyDescent="0.3">
      <c r="A227" s="6" t="s">
        <v>346</v>
      </c>
    </row>
    <row r="228" spans="1:4" x14ac:dyDescent="0.3">
      <c r="A228" s="21" t="s">
        <v>299</v>
      </c>
      <c r="B228" s="66">
        <f>MAX(0,MIN(ROUNDUP((($B$17+$B$68)/2)/$B$26,0)-1,$B$124-1)-MAX(INT(((($B$17-$B$68)/2)-$B$27)/$B$26)+1,0)+1)</f>
        <v>2</v>
      </c>
      <c r="C228" s="2" t="s">
        <v>300</v>
      </c>
      <c r="D228" s="2" t="s">
        <v>301</v>
      </c>
    </row>
    <row r="229" spans="1:4" x14ac:dyDescent="0.3">
      <c r="A229" s="21" t="s">
        <v>302</v>
      </c>
      <c r="B229" s="66">
        <f>IF($B$70+$B$69&lt;$B$19,1,0)</f>
        <v>1</v>
      </c>
      <c r="C229" s="2"/>
      <c r="D229" s="2"/>
    </row>
    <row r="230" spans="1:4" x14ac:dyDescent="0.3">
      <c r="A230" s="21" t="s">
        <v>303</v>
      </c>
      <c r="B230" s="66">
        <f>IF($B$70&gt;0,1,0)</f>
        <v>0</v>
      </c>
      <c r="C230" s="2"/>
      <c r="D230" s="2"/>
    </row>
    <row r="231" spans="1:4" x14ac:dyDescent="0.3">
      <c r="A231" s="21" t="s">
        <v>304</v>
      </c>
      <c r="B231" s="66">
        <f>MAX(0,MIN($B$127-2,INT(($B$70+$B$69-$B$29)/$B$28))-MAX(0,ROUNDUP(($B$70-$B$29)/$B$28,0))+1)+IF(AND($B$19-$B$29&gt;=$B$70,$B$19-$B$29&lt;=$B$70+$B$69),1,0)</f>
        <v>2</v>
      </c>
      <c r="C231" s="2" t="s">
        <v>300</v>
      </c>
      <c r="D231" s="2" t="s">
        <v>305</v>
      </c>
    </row>
    <row r="232" spans="1:4" x14ac:dyDescent="0.3">
      <c r="A232" s="21" t="s">
        <v>306</v>
      </c>
      <c r="B232" s="66">
        <f>$B$230*IF(OR(AND(($B$70)&gt;=$B$29,($B$70)&lt;=$B$19-$B$29,MOD(($B$70)-$B$29,$B$28)=0),($B$70)=$B$19-$B$29),1,0)+$B$229*IF(OR(AND(($B$70+$B$69)&gt;=$B$29,($B$70+$B$69)&lt;=$B$19-$B$29,MOD(($B$70+$B$69)-$B$29,$B$28)=0),($B$70+$B$69)=$B$19-$B$29),1,0)</f>
        <v>0</v>
      </c>
      <c r="C232" s="2" t="s">
        <v>300</v>
      </c>
      <c r="D232" s="2" t="s">
        <v>307</v>
      </c>
    </row>
    <row r="233" spans="1:4" x14ac:dyDescent="0.3">
      <c r="A233" s="21" t="s">
        <v>341</v>
      </c>
      <c r="B233" s="66">
        <f>$B$228</f>
        <v>2</v>
      </c>
      <c r="C233" s="2" t="s">
        <v>300</v>
      </c>
      <c r="D233" s="2"/>
    </row>
    <row r="234" spans="1:4" x14ac:dyDescent="0.3">
      <c r="A234" s="21" t="s">
        <v>318</v>
      </c>
      <c r="B234" s="66">
        <f>$B$228*($B$229+$B$230)</f>
        <v>2</v>
      </c>
      <c r="C234" s="2" t="s">
        <v>300</v>
      </c>
      <c r="D234" s="2"/>
    </row>
    <row r="235" spans="1:4" x14ac:dyDescent="0.3">
      <c r="A235" s="21" t="s">
        <v>320</v>
      </c>
      <c r="B235" s="73">
        <f>$B$228*($B$230*$B$70+$B$229*($B$19-$B$70-$B$69))/12</f>
        <v>11</v>
      </c>
      <c r="C235" s="2" t="s">
        <v>321</v>
      </c>
      <c r="D235" s="2" t="s">
        <v>342</v>
      </c>
    </row>
    <row r="236" spans="1:4" x14ac:dyDescent="0.3">
      <c r="A236" s="21" t="s">
        <v>322</v>
      </c>
      <c r="B236" s="66">
        <f>2</f>
        <v>2</v>
      </c>
      <c r="C236" s="2" t="s">
        <v>300</v>
      </c>
      <c r="D236" s="2"/>
    </row>
    <row r="237" spans="1:4" x14ac:dyDescent="0.3">
      <c r="A237" s="21" t="s">
        <v>324</v>
      </c>
      <c r="B237" s="66">
        <f>$B$229+$B$230</f>
        <v>1</v>
      </c>
      <c r="C237" s="2" t="s">
        <v>300</v>
      </c>
      <c r="D237" s="2"/>
    </row>
    <row r="238" spans="1:4" x14ac:dyDescent="0.3">
      <c r="A238" s="21" t="s">
        <v>325</v>
      </c>
      <c r="B238" s="74">
        <f>($B$229+$B$230)*($B$68+2*$B$27)/12</f>
        <v>3.2708333333333335</v>
      </c>
      <c r="C238" s="2" t="s">
        <v>321</v>
      </c>
      <c r="D238" s="2" t="s">
        <v>326</v>
      </c>
    </row>
    <row r="239" spans="1:4" x14ac:dyDescent="0.3">
      <c r="A239" s="21" t="s">
        <v>327</v>
      </c>
      <c r="B239" s="66">
        <f>$B$127*($B$125-$B$228+2)+$B$228*($B$127-$B$231+$B$232)</f>
        <v>20</v>
      </c>
      <c r="C239" s="2" t="s">
        <v>300</v>
      </c>
      <c r="D239" s="2" t="s">
        <v>343</v>
      </c>
    </row>
    <row r="240" spans="1:4" x14ac:dyDescent="0.3">
      <c r="A240" s="21" t="s">
        <v>329</v>
      </c>
      <c r="B240" s="73">
        <f>($B$127*$B$17-$B$231*$B$68)/12</f>
        <v>10</v>
      </c>
      <c r="C240" s="2" t="s">
        <v>321</v>
      </c>
      <c r="D240" s="2"/>
    </row>
    <row r="241" spans="1:4" x14ac:dyDescent="0.3">
      <c r="A241" s="21" t="s">
        <v>330</v>
      </c>
      <c r="B241" s="66">
        <f>$B$125-$B$233+$B$236+$B$234</f>
        <v>6</v>
      </c>
      <c r="C241" s="2" t="s">
        <v>300</v>
      </c>
      <c r="D241" s="2" t="s">
        <v>124</v>
      </c>
    </row>
    <row r="242" spans="1:4" x14ac:dyDescent="0.3">
      <c r="A242" s="21" t="s">
        <v>331</v>
      </c>
      <c r="B242" s="66">
        <f>$B$125-$B$233+$B$236</f>
        <v>4</v>
      </c>
      <c r="C242" s="2" t="s">
        <v>300</v>
      </c>
      <c r="D242" s="2"/>
    </row>
    <row r="243" spans="1:4" x14ac:dyDescent="0.3">
      <c r="A243" s="21" t="s">
        <v>332</v>
      </c>
      <c r="B243" s="74">
        <f>($B$19-$B$38)/12</f>
        <v>8.5</v>
      </c>
      <c r="C243" s="2" t="s">
        <v>282</v>
      </c>
      <c r="D243" s="2" t="s">
        <v>333</v>
      </c>
    </row>
    <row r="244" spans="1:4" x14ac:dyDescent="0.3">
      <c r="A244" s="6" t="s">
        <v>347</v>
      </c>
    </row>
    <row r="245" spans="1:4" x14ac:dyDescent="0.3">
      <c r="A245" s="21" t="s">
        <v>335</v>
      </c>
      <c r="B245" s="66">
        <f>MAX(0,MIN(ROUNDUP((($B$17+$B$72)/2)/$B$26,0)-1,$B$124-1)-MAX(INT(((($B$17-$B$72)/2)-$B$27)/$B$26)+1,0)+1)</f>
        <v>2</v>
      </c>
      <c r="C245" s="2" t="s">
        <v>300</v>
      </c>
      <c r="D245" s="2" t="s">
        <v>301</v>
      </c>
    </row>
    <row r="246" spans="1:4" x14ac:dyDescent="0.3">
      <c r="A246" s="21" t="s">
        <v>336</v>
      </c>
      <c r="B246" s="66">
        <f>IF($B$74+$B$73&lt;$B$19,1,0)</f>
        <v>1</v>
      </c>
      <c r="C246" s="2"/>
      <c r="D246" s="2"/>
    </row>
    <row r="247" spans="1:4" x14ac:dyDescent="0.3">
      <c r="A247" s="21" t="s">
        <v>337</v>
      </c>
      <c r="B247" s="66">
        <f>IF($B$74&gt;0,1,0)</f>
        <v>1</v>
      </c>
      <c r="C247" s="2"/>
      <c r="D247" s="2"/>
    </row>
    <row r="248" spans="1:4" x14ac:dyDescent="0.3">
      <c r="A248" s="21" t="s">
        <v>338</v>
      </c>
      <c r="B248" s="66">
        <f>MAX(0,MIN($B$127-2,INT(($B$74+$B$73-$B$29)/$B$28))-MAX(0,ROUNDUP(($B$74-$B$29)/$B$28,0))+1)+IF(AND($B$19-$B$29&gt;=$B$74,$B$19-$B$29&lt;=$B$74+$B$73),1,0)</f>
        <v>1</v>
      </c>
      <c r="C248" s="2" t="s">
        <v>300</v>
      </c>
      <c r="D248" s="2" t="s">
        <v>305</v>
      </c>
    </row>
    <row r="249" spans="1:4" x14ac:dyDescent="0.3">
      <c r="A249" s="21" t="s">
        <v>339</v>
      </c>
      <c r="B249" s="66">
        <f>$B$247*IF(OR(AND(($B$74)&gt;=$B$29,($B$74)&lt;=$B$19-$B$29,MOD(($B$74)-$B$29,$B$28)=0),($B$74)=$B$19-$B$29),1,0)+$B$246*IF(OR(AND(($B$74+$B$73)&gt;=$B$29,($B$74+$B$73)&lt;=$B$19-$B$29,MOD(($B$74+$B$73)-$B$29,$B$28)=0),($B$74+$B$73)=$B$19-$B$29),1,0)</f>
        <v>0</v>
      </c>
      <c r="C249" s="2" t="s">
        <v>300</v>
      </c>
      <c r="D249" s="2" t="s">
        <v>307</v>
      </c>
    </row>
    <row r="250" spans="1:4" x14ac:dyDescent="0.3">
      <c r="A250" s="21" t="s">
        <v>341</v>
      </c>
      <c r="B250" s="66">
        <f>$B$245</f>
        <v>2</v>
      </c>
      <c r="C250" s="2" t="s">
        <v>300</v>
      </c>
      <c r="D250" s="2"/>
    </row>
    <row r="251" spans="1:4" x14ac:dyDescent="0.3">
      <c r="A251" s="21" t="s">
        <v>318</v>
      </c>
      <c r="B251" s="66">
        <f>$B$245*($B$246+$B$247)</f>
        <v>4</v>
      </c>
      <c r="C251" s="2" t="s">
        <v>300</v>
      </c>
      <c r="D251" s="2"/>
    </row>
    <row r="252" spans="1:4" x14ac:dyDescent="0.3">
      <c r="A252" s="21" t="s">
        <v>320</v>
      </c>
      <c r="B252" s="73">
        <f>$B$245*($B$247*$B$74+$B$246*($B$19-$B$74-$B$73))/12</f>
        <v>13</v>
      </c>
      <c r="C252" s="2" t="s">
        <v>321</v>
      </c>
      <c r="D252" s="2" t="s">
        <v>342</v>
      </c>
    </row>
    <row r="253" spans="1:4" x14ac:dyDescent="0.3">
      <c r="A253" s="21" t="s">
        <v>322</v>
      </c>
      <c r="B253" s="66">
        <f>2</f>
        <v>2</v>
      </c>
      <c r="C253" s="2" t="s">
        <v>300</v>
      </c>
      <c r="D253" s="2"/>
    </row>
    <row r="254" spans="1:4" x14ac:dyDescent="0.3">
      <c r="A254" s="21" t="s">
        <v>324</v>
      </c>
      <c r="B254" s="66">
        <f>$B$246+$B$247</f>
        <v>2</v>
      </c>
      <c r="C254" s="2" t="s">
        <v>300</v>
      </c>
      <c r="D254" s="2"/>
    </row>
    <row r="255" spans="1:4" x14ac:dyDescent="0.3">
      <c r="A255" s="21" t="s">
        <v>325</v>
      </c>
      <c r="B255" s="74">
        <f>($B$246+$B$247)*($B$72+2*$B$27)/12</f>
        <v>7.208333333333333</v>
      </c>
      <c r="C255" s="2" t="s">
        <v>321</v>
      </c>
      <c r="D255" s="2" t="s">
        <v>326</v>
      </c>
    </row>
    <row r="256" spans="1:4" x14ac:dyDescent="0.3">
      <c r="A256" s="21" t="s">
        <v>327</v>
      </c>
      <c r="B256" s="66">
        <f>$B$127*($B$125-$B$245+2)+$B$245*($B$127-$B$248+$B$249)</f>
        <v>22</v>
      </c>
      <c r="C256" s="2" t="s">
        <v>300</v>
      </c>
      <c r="D256" s="2" t="s">
        <v>343</v>
      </c>
    </row>
    <row r="257" spans="1:4" x14ac:dyDescent="0.3">
      <c r="A257" s="21" t="s">
        <v>329</v>
      </c>
      <c r="B257" s="73">
        <f>($B$127*$B$17-$B$248*$B$72)/12</f>
        <v>12.666666666666666</v>
      </c>
      <c r="C257" s="2" t="s">
        <v>321</v>
      </c>
      <c r="D257" s="2"/>
    </row>
    <row r="258" spans="1:4" x14ac:dyDescent="0.3">
      <c r="A258" s="21" t="s">
        <v>330</v>
      </c>
      <c r="B258" s="66">
        <f>$B$125-$B$250+$B$253+$B$251</f>
        <v>8</v>
      </c>
      <c r="C258" s="2" t="s">
        <v>300</v>
      </c>
      <c r="D258" s="2" t="s">
        <v>124</v>
      </c>
    </row>
    <row r="259" spans="1:4" x14ac:dyDescent="0.3">
      <c r="A259" s="21" t="s">
        <v>331</v>
      </c>
      <c r="B259" s="66">
        <f>$B$125-$B$250+$B$253</f>
        <v>4</v>
      </c>
      <c r="C259" s="2" t="s">
        <v>300</v>
      </c>
      <c r="D259" s="2"/>
    </row>
    <row r="260" spans="1:4" x14ac:dyDescent="0.3">
      <c r="A260" s="21" t="s">
        <v>332</v>
      </c>
      <c r="B260" s="74">
        <f>(IF($B$74&gt;$B$37,$B$74-$B$37,$B$19-$B$37))/12</f>
        <v>0.66666666666666663</v>
      </c>
      <c r="C260" s="2" t="s">
        <v>282</v>
      </c>
      <c r="D260" s="2" t="s">
        <v>333</v>
      </c>
    </row>
    <row r="261" spans="1:4" x14ac:dyDescent="0.3">
      <c r="A261" s="6" t="s">
        <v>348</v>
      </c>
    </row>
    <row r="262" spans="1:4" x14ac:dyDescent="0.3">
      <c r="A262" s="21" t="s">
        <v>308</v>
      </c>
      <c r="B262" s="66">
        <f>MAX(0,MIN(ROUNDUP((($B$17+$B$44)/2)/$B$26,0)-1,$B$124-1)-MAX(INT(((($B$17-$B$44)/2)-$B$27)/$B$26)+1,0)+1)</f>
        <v>2</v>
      </c>
      <c r="C262" s="2" t="s">
        <v>300</v>
      </c>
      <c r="D262" s="2" t="s">
        <v>301</v>
      </c>
    </row>
    <row r="263" spans="1:4" x14ac:dyDescent="0.3">
      <c r="A263" s="21" t="s">
        <v>309</v>
      </c>
      <c r="B263" s="66">
        <f>IF($B$46+$B$45&lt;$B$19,1,0)</f>
        <v>1</v>
      </c>
      <c r="C263" s="2"/>
      <c r="D263" s="2"/>
    </row>
    <row r="264" spans="1:4" x14ac:dyDescent="0.3">
      <c r="A264" s="21" t="s">
        <v>310</v>
      </c>
      <c r="B264" s="66">
        <f>IF($B$46&gt;0,1,0)</f>
        <v>1</v>
      </c>
      <c r="C264" s="2"/>
      <c r="D264" s="2"/>
    </row>
    <row r="265" spans="1:4" x14ac:dyDescent="0.3">
      <c r="A265" s="21" t="s">
        <v>311</v>
      </c>
      <c r="B265" s="66">
        <f>MAX(0,MIN($B$127-2,INT(($B$46+$B$45-$B$29)/$B$28))-MAX(0,ROUNDUP(($B$46-$B$29)/$B$28,0))+1)+IF(AND($B$19-$B$29&gt;=$B$46,$B$19-$B$29&lt;=$B$46+$B$45),1,0)</f>
        <v>1</v>
      </c>
      <c r="C265" s="2" t="s">
        <v>300</v>
      </c>
      <c r="D265" s="2" t="s">
        <v>305</v>
      </c>
    </row>
    <row r="266" spans="1:4" x14ac:dyDescent="0.3">
      <c r="A266" s="21" t="s">
        <v>312</v>
      </c>
      <c r="B266" s="66">
        <f>$B$264*IF(OR(AND(($B$46)&gt;=$B$29,($B$46)&lt;=$B$19-$B$29,MOD(($B$46)-$B$29,$B$28)=0),($B$46)=$B$19-$B$29),1,0)+$B$263*IF(OR(AND(($B$46+$B$45)&gt;=$B$29,($B$46+$B$45)&lt;=$B$19-$B$29,MOD(($B$46+$B$45)-$B$29,$B$28)=0),($B$46+$B$45)=$B$19-$B$29),1,0)</f>
        <v>0</v>
      </c>
      <c r="C266" s="2" t="s">
        <v>300</v>
      </c>
      <c r="D266" s="2" t="s">
        <v>307</v>
      </c>
    </row>
    <row r="267" spans="1:4" x14ac:dyDescent="0.3">
      <c r="A267" s="21" t="s">
        <v>341</v>
      </c>
      <c r="B267" s="66">
        <f>$B$262</f>
        <v>2</v>
      </c>
      <c r="C267" s="2" t="s">
        <v>300</v>
      </c>
      <c r="D267" s="2"/>
    </row>
    <row r="268" spans="1:4" x14ac:dyDescent="0.3">
      <c r="A268" s="21" t="s">
        <v>318</v>
      </c>
      <c r="B268" s="66">
        <f>$B$262*($B$263+$B$264)</f>
        <v>4</v>
      </c>
      <c r="C268" s="2" t="s">
        <v>300</v>
      </c>
      <c r="D268" s="2"/>
    </row>
    <row r="269" spans="1:4" x14ac:dyDescent="0.3">
      <c r="A269" s="21" t="s">
        <v>320</v>
      </c>
      <c r="B269" s="73">
        <f>$B$262*($B$264*$B$46+$B$263*($B$19-$B$46-$B$45))/12</f>
        <v>21</v>
      </c>
      <c r="C269" s="2" t="s">
        <v>321</v>
      </c>
      <c r="D269" s="2" t="s">
        <v>342</v>
      </c>
    </row>
    <row r="270" spans="1:4" x14ac:dyDescent="0.3">
      <c r="A270" s="21" t="s">
        <v>322</v>
      </c>
      <c r="B270" s="66">
        <f>2</f>
        <v>2</v>
      </c>
      <c r="C270" s="2" t="s">
        <v>300</v>
      </c>
      <c r="D270" s="2"/>
    </row>
    <row r="271" spans="1:4" x14ac:dyDescent="0.3">
      <c r="A271" s="21" t="s">
        <v>324</v>
      </c>
      <c r="B271" s="66">
        <f>$B$263+$B$264</f>
        <v>2</v>
      </c>
      <c r="C271" s="2" t="s">
        <v>300</v>
      </c>
      <c r="D271" s="2"/>
    </row>
    <row r="272" spans="1:4" x14ac:dyDescent="0.3">
      <c r="A272" s="21" t="s">
        <v>325</v>
      </c>
      <c r="B272" s="74">
        <f>($B$263+$B$264)*($B$44+2*$B$27)/12</f>
        <v>7.208333333333333</v>
      </c>
      <c r="C272" s="2" t="s">
        <v>321</v>
      </c>
      <c r="D272" s="2" t="s">
        <v>326</v>
      </c>
    </row>
    <row r="273" spans="1:4" x14ac:dyDescent="0.3">
      <c r="A273" s="21" t="s">
        <v>327</v>
      </c>
      <c r="B273" s="66">
        <f>$B$127*($B$125-$B$262+2)+$B$262*($B$127-$B$265+$B$266)</f>
        <v>22</v>
      </c>
      <c r="C273" s="2" t="s">
        <v>300</v>
      </c>
      <c r="D273" s="2" t="s">
        <v>343</v>
      </c>
    </row>
    <row r="274" spans="1:4" x14ac:dyDescent="0.3">
      <c r="A274" s="21" t="s">
        <v>329</v>
      </c>
      <c r="B274" s="73">
        <f>($B$127*$B$17-$B$265*$B$44)/12</f>
        <v>12.666666666666666</v>
      </c>
      <c r="C274" s="2" t="s">
        <v>321</v>
      </c>
      <c r="D274" s="2"/>
    </row>
    <row r="275" spans="1:4" x14ac:dyDescent="0.3">
      <c r="A275" s="21" t="s">
        <v>330</v>
      </c>
      <c r="B275" s="66">
        <f>$B$125-$B$267+$B$270+$B$268</f>
        <v>8</v>
      </c>
      <c r="C275" s="2" t="s">
        <v>300</v>
      </c>
      <c r="D275" s="2" t="s">
        <v>124</v>
      </c>
    </row>
    <row r="276" spans="1:4" x14ac:dyDescent="0.3">
      <c r="A276" s="21" t="s">
        <v>331</v>
      </c>
      <c r="B276" s="66">
        <f>$B$125-$B$267+$B$270</f>
        <v>4</v>
      </c>
      <c r="C276" s="2" t="s">
        <v>300</v>
      </c>
      <c r="D276" s="2"/>
    </row>
    <row r="277" spans="1:4" x14ac:dyDescent="0.3">
      <c r="A277" s="21" t="s">
        <v>332</v>
      </c>
      <c r="B277" s="74">
        <f>(IF($B$46&gt;$B$37,$B$46-$B$37,$B$19-$B$37))/12</f>
        <v>8.6666666666666661</v>
      </c>
      <c r="C277" s="2" t="s">
        <v>282</v>
      </c>
      <c r="D277" s="2" t="s">
        <v>333</v>
      </c>
    </row>
    <row r="278" spans="1:4" x14ac:dyDescent="0.3">
      <c r="A278" s="21" t="s">
        <v>349</v>
      </c>
      <c r="B278" s="66">
        <f>$B$112*$B$125+($B$47*($B$125-$B$141)+$B$51*($B$125-$B$165)+$B$55*($B$125-$B$182)+$B$59*($B$125-$B$199)+$B$63*($B$125-$B$216)+$B$67*($B$125-$B$233)+$B$71*($B$125-$B$250)+$B$75*($B$125-$B$267))</f>
        <v>106</v>
      </c>
      <c r="C278" s="2" t="s">
        <v>129</v>
      </c>
      <c r="D278" s="2" t="s">
        <v>350</v>
      </c>
    </row>
    <row r="279" spans="1:4" x14ac:dyDescent="0.3">
      <c r="A279" s="21" t="s">
        <v>351</v>
      </c>
      <c r="B279" s="66">
        <f>($B$47*$B$144+$B$51*$B$168+$B$55*$B$185+$B$59*$B$202+$B$63*$B$219+$B$67*$B$236+$B$71*$B$253+$B$75*$B$270)</f>
        <v>32</v>
      </c>
      <c r="C279" s="2" t="s">
        <v>129</v>
      </c>
      <c r="D279" s="2"/>
    </row>
    <row r="280" spans="1:4" x14ac:dyDescent="0.3">
      <c r="A280" s="21" t="s">
        <v>352</v>
      </c>
      <c r="B280" s="66">
        <f>($B$47*$B$142+$B$51*$B$166+$B$55*$B$183+$B$59*$B$200+$B$63*$B$217+$B$67*$B$234+$B$71*$B$251+$B$75*$B$268)</f>
        <v>74</v>
      </c>
      <c r="C280" s="2" t="s">
        <v>129</v>
      </c>
      <c r="D280" s="2"/>
    </row>
    <row r="281" spans="1:4" x14ac:dyDescent="0.3">
      <c r="A281" s="21" t="s">
        <v>353</v>
      </c>
      <c r="B281" s="73">
        <f>($B$47*$B$143+$B$51*$B$167+$B$55*$B$184+$B$59*$B$201+$B$63*$B$218+$B$67*$B$235+$B$71*$B$252+$B$75*$B$269)</f>
        <v>177</v>
      </c>
      <c r="C281" s="2" t="s">
        <v>282</v>
      </c>
      <c r="D281" s="2"/>
    </row>
    <row r="282" spans="1:4" x14ac:dyDescent="0.3">
      <c r="A282" s="21" t="s">
        <v>354</v>
      </c>
      <c r="B282" s="66">
        <f>$B$278+$B$279+$B$280</f>
        <v>212</v>
      </c>
      <c r="C282" s="2" t="s">
        <v>129</v>
      </c>
      <c r="D282" s="2"/>
    </row>
    <row r="283" spans="1:4" x14ac:dyDescent="0.3">
      <c r="A283" s="21" t="s">
        <v>355</v>
      </c>
      <c r="B283" s="66">
        <f>$B$110*$B$125+($B$55*$B$191+$B$59*$B$208+$B$63*$B$225)</f>
        <v>96</v>
      </c>
      <c r="C283" s="2" t="s">
        <v>129</v>
      </c>
      <c r="D283" s="2" t="s">
        <v>356</v>
      </c>
    </row>
    <row r="284" spans="1:4" x14ac:dyDescent="0.3">
      <c r="A284" s="21" t="s">
        <v>357</v>
      </c>
      <c r="B284" s="66">
        <f>$B$111*$B$125+($B$47*$B$150+$B$51*$B$174+$B$67*$B$242+$B$71*$B$259+$B$75*$B$276)</f>
        <v>42</v>
      </c>
      <c r="C284" s="2" t="s">
        <v>129</v>
      </c>
      <c r="D284" s="2" t="s">
        <v>358</v>
      </c>
    </row>
    <row r="285" spans="1:4" x14ac:dyDescent="0.3">
      <c r="A285" s="21" t="s">
        <v>359</v>
      </c>
      <c r="B285" s="73">
        <f>$B$283*$B$18/12+$B$284*$B$19/12</f>
        <v>1485</v>
      </c>
      <c r="C285" s="2" t="s">
        <v>282</v>
      </c>
      <c r="D285" s="2" t="s">
        <v>360</v>
      </c>
    </row>
    <row r="286" spans="1:4" x14ac:dyDescent="0.3">
      <c r="A286" s="21" t="s">
        <v>361</v>
      </c>
      <c r="B286" s="73">
        <f>$B$285+$B$281</f>
        <v>1662</v>
      </c>
      <c r="C286" s="2" t="s">
        <v>282</v>
      </c>
      <c r="D286" s="2"/>
    </row>
    <row r="287" spans="1:4" x14ac:dyDescent="0.3">
      <c r="A287" s="21" t="s">
        <v>362</v>
      </c>
      <c r="B287" s="66">
        <f>($B$47*$B$145+$B$51*$B$169+$B$55*$B$186+$B$59*$B$203+$B$63*$B$220+$B$67*$B$237+$B$71*$B$254+$B$75*$B$271)</f>
        <v>45</v>
      </c>
      <c r="C287" s="2" t="s">
        <v>129</v>
      </c>
      <c r="D287" s="2"/>
    </row>
    <row r="288" spans="1:4" x14ac:dyDescent="0.3">
      <c r="A288" s="21" t="s">
        <v>363</v>
      </c>
      <c r="B288" s="73">
        <f>($B$47*$B$146+$B$51*$B$170+$B$55*$B$187+$B$59*$B$204+$B$63*$B$221+$B$67*$B$238+$B$71*$B$255+$B$75*$B$272)</f>
        <v>156.52083333333331</v>
      </c>
      <c r="C288" s="2" t="s">
        <v>282</v>
      </c>
      <c r="D288" s="2"/>
    </row>
    <row r="289" spans="1:4" x14ac:dyDescent="0.3">
      <c r="A289" s="21" t="s">
        <v>364</v>
      </c>
      <c r="B289" s="73">
        <f>$B$106*2*$B$17/12</f>
        <v>272</v>
      </c>
      <c r="C289" s="2" t="s">
        <v>282</v>
      </c>
      <c r="D289" s="2" t="s">
        <v>365</v>
      </c>
    </row>
    <row r="290" spans="1:4" x14ac:dyDescent="0.3">
      <c r="A290" s="21" t="s">
        <v>366</v>
      </c>
      <c r="B290" s="73">
        <f>$B$289+$B$288+$B$118</f>
        <v>568.35416666666663</v>
      </c>
      <c r="C290" s="2" t="s">
        <v>282</v>
      </c>
      <c r="D290" s="2"/>
    </row>
    <row r="291" spans="1:4" x14ac:dyDescent="0.3">
      <c r="A291" s="21" t="s">
        <v>367</v>
      </c>
      <c r="B291" s="73">
        <f>($B$110*$B$126+$B$111*$B$127)*$B$17/12+($B$47*$B$148+$B$51*$B$172+$B$55*$B$189+$B$59*$B$206+$B$63*$B$223+$B$67*$B$240+$B$71*$B$257+$B$75*$B$274)</f>
        <v>371.33333333333337</v>
      </c>
      <c r="C291" s="2" t="s">
        <v>282</v>
      </c>
      <c r="D291" s="2"/>
    </row>
    <row r="292" spans="1:4" x14ac:dyDescent="0.3">
      <c r="A292" s="21" t="s">
        <v>368</v>
      </c>
      <c r="B292" s="66">
        <f>($B$110*$B$126+$B$111*$B$127)*$B$125+($B$47*$B$147+$B$51*$B$171+$B$55*$B$188+$B$59*$B$205+$B$63*$B$222+$B$67*$B$239+$B$71*$B$256+$B$75*$B$273)</f>
        <v>520</v>
      </c>
      <c r="C292" s="2" t="s">
        <v>129</v>
      </c>
      <c r="D292" s="2"/>
    </row>
    <row r="293" spans="1:4" x14ac:dyDescent="0.3">
      <c r="A293" s="21" t="s">
        <v>369</v>
      </c>
      <c r="B293" s="66">
        <f>$B$112*$B$125+($B$47*$B$149+$B$51*$B$173+$B$55*$B$190+$B$59*$B$207+$B$63*$B$224+$B$67*$B$241+$B$71*$B$258+$B$75*$B$275)</f>
        <v>212</v>
      </c>
      <c r="C293" s="2" t="s">
        <v>129</v>
      </c>
      <c r="D293" s="2"/>
    </row>
    <row r="294" spans="1:4" x14ac:dyDescent="0.3">
      <c r="A294" s="21" t="s">
        <v>370</v>
      </c>
      <c r="B294" s="66">
        <f>$B$47+$B$67</f>
        <v>1</v>
      </c>
      <c r="C294" s="2" t="s">
        <v>129</v>
      </c>
      <c r="D294" s="2"/>
    </row>
    <row r="295" spans="1:4" x14ac:dyDescent="0.3">
      <c r="A295" s="21" t="s">
        <v>371</v>
      </c>
      <c r="B295" s="66">
        <f>($B$106-$B$294)*$B$36+$B$294</f>
        <v>34</v>
      </c>
      <c r="C295" s="2" t="s">
        <v>129</v>
      </c>
      <c r="D295" s="2"/>
    </row>
    <row r="296" spans="1:4" x14ac:dyDescent="0.3">
      <c r="A296" s="21" t="s">
        <v>372</v>
      </c>
      <c r="B296" s="73">
        <f>$B$110*$B$36*($B$18-$B$37)/12+$B$111*$B$36*($B$19-$B$37)/12+($B$47*$B$151*1+$B$51*$B$175*$B$36+$B$55*$B$192*$B$36+$B$59*$B$209*$B$36+$B$63*$B$226*$B$36+$B$67*$B$243*1+$B$71*$B$260*$B$36+$B$75*$B$277*$B$36)</f>
        <v>206</v>
      </c>
      <c r="C296" s="2" t="s">
        <v>282</v>
      </c>
      <c r="D296" s="2" t="s">
        <v>373</v>
      </c>
    </row>
    <row r="297" spans="1:4" x14ac:dyDescent="0.3">
      <c r="A297" s="21" t="s">
        <v>374</v>
      </c>
      <c r="B297" s="73">
        <f>($B$18+IF(AND(($B$17-$B$64)/2&lt;0.3*$B$17,($B$17+$B$64)/2&gt;0.3*$B$17),$B$66,$B$18))/12</f>
        <v>15</v>
      </c>
      <c r="C297" s="2" t="s">
        <v>282</v>
      </c>
      <c r="D297" s="2" t="s">
        <v>375</v>
      </c>
    </row>
    <row r="298" spans="1:4" x14ac:dyDescent="0.3">
      <c r="A298" s="21" t="s">
        <v>376</v>
      </c>
      <c r="B298" s="73">
        <f>$B$39*2*0.4*$B$18/12</f>
        <v>16</v>
      </c>
      <c r="C298" s="2" t="s">
        <v>282</v>
      </c>
      <c r="D298" s="2" t="s">
        <v>377</v>
      </c>
    </row>
    <row r="299" spans="1:4" x14ac:dyDescent="0.3">
      <c r="A299" s="21" t="s">
        <v>378</v>
      </c>
      <c r="B299" s="72">
        <f>$B$123*$B$25/12/27</f>
        <v>18.238168724279838</v>
      </c>
      <c r="C299" s="2" t="s">
        <v>379</v>
      </c>
      <c r="D299" s="2" t="s">
        <v>380</v>
      </c>
    </row>
    <row r="300" spans="1:4" x14ac:dyDescent="0.3">
      <c r="A300" s="21" t="s">
        <v>381</v>
      </c>
      <c r="B300" s="72">
        <f>$B$123*$B$24/12/27</f>
        <v>7.2952674897119358</v>
      </c>
      <c r="C300" s="2" t="s">
        <v>379</v>
      </c>
      <c r="D300" s="2" t="s">
        <v>382</v>
      </c>
    </row>
    <row r="301" spans="1:4" x14ac:dyDescent="0.3">
      <c r="A301" s="21" t="s">
        <v>383</v>
      </c>
      <c r="B301" s="72">
        <f>$B$123*$B$115/12/27</f>
        <v>16.414351851851855</v>
      </c>
      <c r="C301" s="2" t="s">
        <v>379</v>
      </c>
      <c r="D301" s="2" t="s">
        <v>384</v>
      </c>
    </row>
    <row r="302" spans="1:4" x14ac:dyDescent="0.3">
      <c r="A302" s="21" t="s">
        <v>385</v>
      </c>
      <c r="B302" s="72">
        <f>$B$299+$B$300+$B$301</f>
        <v>41.947788065843625</v>
      </c>
      <c r="C302" s="2" t="s">
        <v>379</v>
      </c>
      <c r="D302" s="2"/>
    </row>
    <row r="303" spans="1:4" x14ac:dyDescent="0.3">
      <c r="A303" s="21" t="s">
        <v>386</v>
      </c>
      <c r="B303" s="72">
        <f>$B$302*(1+$B$84)</f>
        <v>46.142566872427992</v>
      </c>
      <c r="C303" s="2" t="s">
        <v>379</v>
      </c>
      <c r="D303" s="2" t="s">
        <v>387</v>
      </c>
    </row>
    <row r="304" spans="1:4" x14ac:dyDescent="0.3">
      <c r="A304" s="21" t="s">
        <v>388</v>
      </c>
      <c r="B304" s="72">
        <f>$B$80/$B$83</f>
        <v>6.3829787234042552</v>
      </c>
      <c r="C304" s="2" t="s">
        <v>389</v>
      </c>
      <c r="D304" s="2"/>
    </row>
    <row r="305" spans="1:10" x14ac:dyDescent="0.3">
      <c r="A305" s="21" t="s">
        <v>390</v>
      </c>
      <c r="B305" s="75">
        <f>($B$25/12*$B$78+3)*$B$119</f>
        <v>703.33333333333348</v>
      </c>
      <c r="C305" s="2" t="s">
        <v>220</v>
      </c>
      <c r="D305" s="2" t="s">
        <v>391</v>
      </c>
    </row>
    <row r="306" spans="1:10" x14ac:dyDescent="0.3">
      <c r="A306" s="21" t="s">
        <v>392</v>
      </c>
      <c r="B306" s="75">
        <f>($B$25/12*$B$78+3)*$B$120</f>
        <v>879.16666666666674</v>
      </c>
      <c r="C306" s="2" t="s">
        <v>220</v>
      </c>
      <c r="D306" s="2" t="s">
        <v>393</v>
      </c>
    </row>
    <row r="307" spans="1:10" x14ac:dyDescent="0.3">
      <c r="A307" s="21" t="s">
        <v>394</v>
      </c>
      <c r="B307" s="73">
        <f>$B$40*$B$120</f>
        <v>200</v>
      </c>
      <c r="C307" s="2" t="s">
        <v>285</v>
      </c>
      <c r="D307" s="2" t="s">
        <v>395</v>
      </c>
    </row>
    <row r="308" spans="1:10" x14ac:dyDescent="0.3">
      <c r="A308" s="21" t="s">
        <v>396</v>
      </c>
      <c r="B308" s="73">
        <f>$B$40*2*($B$17+$B$113)/12</f>
        <v>132</v>
      </c>
      <c r="C308" s="2" t="s">
        <v>282</v>
      </c>
      <c r="D308" s="2" t="s">
        <v>397</v>
      </c>
    </row>
    <row r="309" spans="1:10" x14ac:dyDescent="0.3">
      <c r="A309" s="21" t="s">
        <v>99</v>
      </c>
      <c r="B309" s="66">
        <f>ROUNDUP($B$106/$B$40,0)</f>
        <v>9</v>
      </c>
      <c r="C309" s="2" t="s">
        <v>398</v>
      </c>
      <c r="D309" s="2" t="s">
        <v>399</v>
      </c>
    </row>
    <row r="311" spans="1:10" x14ac:dyDescent="0.3">
      <c r="A311" s="4" t="s">
        <v>400</v>
      </c>
      <c r="B311" s="5"/>
      <c r="C311" s="5"/>
      <c r="D311" s="5"/>
      <c r="E311" s="5"/>
      <c r="F311" s="5"/>
      <c r="G311" s="5"/>
      <c r="H311" s="5"/>
      <c r="I311" s="5"/>
      <c r="J311" s="5"/>
    </row>
    <row r="312" spans="1:10" x14ac:dyDescent="0.3">
      <c r="A312" s="11" t="s">
        <v>401</v>
      </c>
      <c r="B312" s="11" t="s">
        <v>402</v>
      </c>
      <c r="C312" s="11" t="s">
        <v>403</v>
      </c>
      <c r="D312" s="11" t="s">
        <v>404</v>
      </c>
      <c r="E312" s="11" t="s">
        <v>405</v>
      </c>
      <c r="F312" s="11" t="s">
        <v>406</v>
      </c>
      <c r="G312" s="11" t="s">
        <v>407</v>
      </c>
      <c r="H312" s="11" t="s">
        <v>408</v>
      </c>
      <c r="I312" s="11" t="s">
        <v>409</v>
      </c>
      <c r="J312" s="11" t="s">
        <v>410</v>
      </c>
    </row>
    <row r="313" spans="1:10" x14ac:dyDescent="0.3">
      <c r="A313" s="6" t="s">
        <v>411</v>
      </c>
    </row>
    <row r="314" spans="1:10" x14ac:dyDescent="0.3">
      <c r="A314" s="76" t="s">
        <v>412</v>
      </c>
      <c r="B314" s="77">
        <f>$B$285</f>
        <v>1485</v>
      </c>
      <c r="C314" s="78" t="s">
        <v>282</v>
      </c>
      <c r="D314" s="76" t="s">
        <v>413</v>
      </c>
      <c r="E314" s="78" t="s">
        <v>414</v>
      </c>
      <c r="F314" s="68">
        <v>1.94</v>
      </c>
      <c r="G314" s="13">
        <f t="shared" ref="G314:G324" si="0">IF(D314="Material",B314*F314,0)</f>
        <v>2880.9</v>
      </c>
      <c r="H314" s="13">
        <f t="shared" ref="H314:H324" si="1">IF(D314="Labor",B314*F314,0)</f>
        <v>0</v>
      </c>
      <c r="I314" s="13">
        <f t="shared" ref="I314:I324" si="2">G314+H314</f>
        <v>2880.9</v>
      </c>
      <c r="J314" s="78" t="s">
        <v>415</v>
      </c>
    </row>
    <row r="315" spans="1:10" x14ac:dyDescent="0.3">
      <c r="A315" s="76" t="s">
        <v>416</v>
      </c>
      <c r="B315" s="77">
        <f>$B$281*(1+$B$87)</f>
        <v>194.70000000000002</v>
      </c>
      <c r="C315" s="78" t="s">
        <v>282</v>
      </c>
      <c r="D315" s="76" t="s">
        <v>413</v>
      </c>
      <c r="E315" s="78" t="s">
        <v>417</v>
      </c>
      <c r="F315" s="68">
        <v>1.94</v>
      </c>
      <c r="G315" s="13">
        <f t="shared" si="0"/>
        <v>377.71800000000002</v>
      </c>
      <c r="H315" s="13">
        <f t="shared" si="1"/>
        <v>0</v>
      </c>
      <c r="I315" s="13">
        <f t="shared" si="2"/>
        <v>377.71800000000002</v>
      </c>
      <c r="J315" s="78" t="s">
        <v>418</v>
      </c>
    </row>
    <row r="316" spans="1:10" x14ac:dyDescent="0.3">
      <c r="A316" s="76" t="s">
        <v>419</v>
      </c>
      <c r="B316" s="77">
        <f>$B$289*(1+$B$87)</f>
        <v>299.20000000000005</v>
      </c>
      <c r="C316" s="78" t="s">
        <v>282</v>
      </c>
      <c r="D316" s="76" t="s">
        <v>413</v>
      </c>
      <c r="E316" s="78" t="s">
        <v>420</v>
      </c>
      <c r="F316" s="68">
        <v>1.94</v>
      </c>
      <c r="G316" s="13">
        <f t="shared" si="0"/>
        <v>580.44800000000009</v>
      </c>
      <c r="H316" s="13">
        <f t="shared" si="1"/>
        <v>0</v>
      </c>
      <c r="I316" s="13">
        <f t="shared" si="2"/>
        <v>580.44800000000009</v>
      </c>
      <c r="J316" s="78" t="s">
        <v>421</v>
      </c>
    </row>
    <row r="317" spans="1:10" x14ac:dyDescent="0.3">
      <c r="A317" s="76" t="s">
        <v>422</v>
      </c>
      <c r="B317" s="77">
        <f>$B$288*(1+$B$87)</f>
        <v>172.17291666666665</v>
      </c>
      <c r="C317" s="78" t="s">
        <v>282</v>
      </c>
      <c r="D317" s="76" t="s">
        <v>413</v>
      </c>
      <c r="E317" s="78" t="s">
        <v>423</v>
      </c>
      <c r="F317" s="68">
        <v>1.94</v>
      </c>
      <c r="G317" s="13">
        <f t="shared" si="0"/>
        <v>334.0154583333333</v>
      </c>
      <c r="H317" s="13">
        <f t="shared" si="1"/>
        <v>0</v>
      </c>
      <c r="I317" s="13">
        <f t="shared" si="2"/>
        <v>334.0154583333333</v>
      </c>
      <c r="J317" s="78" t="s">
        <v>424</v>
      </c>
    </row>
    <row r="318" spans="1:10" x14ac:dyDescent="0.3">
      <c r="A318" s="76" t="s">
        <v>425</v>
      </c>
      <c r="B318" s="77">
        <f>$B$118*(1+$B$87)</f>
        <v>153.81666666666669</v>
      </c>
      <c r="C318" s="78" t="s">
        <v>282</v>
      </c>
      <c r="D318" s="76" t="s">
        <v>413</v>
      </c>
      <c r="E318" s="78" t="s">
        <v>426</v>
      </c>
      <c r="F318" s="68">
        <v>1.94</v>
      </c>
      <c r="G318" s="13">
        <f t="shared" si="0"/>
        <v>298.4043333333334</v>
      </c>
      <c r="H318" s="13">
        <f t="shared" si="1"/>
        <v>0</v>
      </c>
      <c r="I318" s="13">
        <f t="shared" si="2"/>
        <v>298.4043333333334</v>
      </c>
      <c r="J318" s="78" t="s">
        <v>427</v>
      </c>
    </row>
    <row r="319" spans="1:10" x14ac:dyDescent="0.3">
      <c r="A319" s="76" t="s">
        <v>428</v>
      </c>
      <c r="B319" s="77">
        <f>$B$291*(1+$B$87)</f>
        <v>408.46666666666675</v>
      </c>
      <c r="C319" s="78" t="s">
        <v>282</v>
      </c>
      <c r="D319" s="76" t="s">
        <v>413</v>
      </c>
      <c r="E319" s="78" t="s">
        <v>429</v>
      </c>
      <c r="F319" s="68">
        <v>0.73</v>
      </c>
      <c r="G319" s="13">
        <f t="shared" si="0"/>
        <v>298.1806666666667</v>
      </c>
      <c r="H319" s="13">
        <f t="shared" si="1"/>
        <v>0</v>
      </c>
      <c r="I319" s="13">
        <f t="shared" si="2"/>
        <v>298.1806666666667</v>
      </c>
      <c r="J319" s="78" t="s">
        <v>430</v>
      </c>
    </row>
    <row r="320" spans="1:10" x14ac:dyDescent="0.3">
      <c r="A320" s="76" t="s">
        <v>431</v>
      </c>
      <c r="B320" s="79">
        <f>$B$292*$B$31</f>
        <v>1040</v>
      </c>
      <c r="C320" s="78" t="s">
        <v>129</v>
      </c>
      <c r="D320" s="76" t="s">
        <v>413</v>
      </c>
      <c r="E320" s="78" t="s">
        <v>432</v>
      </c>
      <c r="F320" s="68">
        <v>0.08</v>
      </c>
      <c r="G320" s="13">
        <f t="shared" si="0"/>
        <v>83.2</v>
      </c>
      <c r="H320" s="13">
        <f t="shared" si="1"/>
        <v>0</v>
      </c>
      <c r="I320" s="13">
        <f t="shared" si="2"/>
        <v>83.2</v>
      </c>
      <c r="J320" s="78" t="s">
        <v>433</v>
      </c>
    </row>
    <row r="321" spans="1:10" x14ac:dyDescent="0.3">
      <c r="A321" s="76" t="s">
        <v>434</v>
      </c>
      <c r="B321" s="79">
        <f>$B$293*2*$B$32</f>
        <v>1696</v>
      </c>
      <c r="C321" s="78" t="s">
        <v>129</v>
      </c>
      <c r="D321" s="76" t="s">
        <v>413</v>
      </c>
      <c r="E321" s="78" t="s">
        <v>435</v>
      </c>
      <c r="F321" s="68">
        <v>0.08</v>
      </c>
      <c r="G321" s="13">
        <f t="shared" si="0"/>
        <v>135.68</v>
      </c>
      <c r="H321" s="13">
        <f t="shared" si="1"/>
        <v>0</v>
      </c>
      <c r="I321" s="13">
        <f t="shared" si="2"/>
        <v>135.68</v>
      </c>
      <c r="J321" s="78" t="s">
        <v>436</v>
      </c>
    </row>
    <row r="322" spans="1:10" x14ac:dyDescent="0.3">
      <c r="A322" s="76" t="s">
        <v>437</v>
      </c>
      <c r="B322" s="79">
        <f>$B$106*$B$33</f>
        <v>272</v>
      </c>
      <c r="C322" s="78" t="s">
        <v>129</v>
      </c>
      <c r="D322" s="76" t="s">
        <v>413</v>
      </c>
      <c r="E322" s="78" t="s">
        <v>438</v>
      </c>
      <c r="F322" s="68">
        <v>0.1</v>
      </c>
      <c r="G322" s="13">
        <f t="shared" si="0"/>
        <v>27.200000000000003</v>
      </c>
      <c r="H322" s="13">
        <f t="shared" si="1"/>
        <v>0</v>
      </c>
      <c r="I322" s="13">
        <f t="shared" si="2"/>
        <v>27.200000000000003</v>
      </c>
      <c r="J322" s="78" t="s">
        <v>439</v>
      </c>
    </row>
    <row r="323" spans="1:10" x14ac:dyDescent="0.3">
      <c r="A323" s="76" t="s">
        <v>440</v>
      </c>
      <c r="B323" s="79">
        <f>$B$106*$B$34</f>
        <v>408</v>
      </c>
      <c r="C323" s="78" t="s">
        <v>129</v>
      </c>
      <c r="D323" s="76" t="s">
        <v>413</v>
      </c>
      <c r="E323" s="78" t="s">
        <v>441</v>
      </c>
      <c r="F323" s="68">
        <v>0.1</v>
      </c>
      <c r="G323" s="13">
        <f t="shared" si="0"/>
        <v>40.800000000000004</v>
      </c>
      <c r="H323" s="13">
        <f t="shared" si="1"/>
        <v>0</v>
      </c>
      <c r="I323" s="13">
        <f t="shared" si="2"/>
        <v>40.800000000000004</v>
      </c>
      <c r="J323" s="78" t="s">
        <v>442</v>
      </c>
    </row>
    <row r="324" spans="1:10" x14ac:dyDescent="0.3">
      <c r="A324" s="76" t="s">
        <v>443</v>
      </c>
      <c r="B324" s="79">
        <f>$B$106*$B$35</f>
        <v>68</v>
      </c>
      <c r="C324" s="78" t="s">
        <v>129</v>
      </c>
      <c r="D324" s="76" t="s">
        <v>413</v>
      </c>
      <c r="E324" s="78" t="s">
        <v>444</v>
      </c>
      <c r="F324" s="68">
        <v>4.5</v>
      </c>
      <c r="G324" s="13">
        <f t="shared" si="0"/>
        <v>306</v>
      </c>
      <c r="H324" s="13">
        <f t="shared" si="1"/>
        <v>0</v>
      </c>
      <c r="I324" s="13">
        <f t="shared" si="2"/>
        <v>306</v>
      </c>
      <c r="J324" s="78" t="s">
        <v>445</v>
      </c>
    </row>
    <row r="325" spans="1:10" x14ac:dyDescent="0.3">
      <c r="A325" s="16" t="s">
        <v>446</v>
      </c>
      <c r="B325" s="20"/>
      <c r="C325" s="20"/>
      <c r="D325" s="20"/>
      <c r="E325" s="20"/>
      <c r="F325" s="20"/>
      <c r="G325" s="80">
        <f>SUM(G314:G324)</f>
        <v>5362.5464583333332</v>
      </c>
      <c r="H325" s="80">
        <f>SUM(H314:H324)</f>
        <v>0</v>
      </c>
      <c r="I325" s="80">
        <f>SUM(I314:I324)</f>
        <v>5362.5464583333332</v>
      </c>
      <c r="J325" s="20"/>
    </row>
    <row r="327" spans="1:10" x14ac:dyDescent="0.3">
      <c r="A327" s="6" t="s">
        <v>447</v>
      </c>
    </row>
    <row r="328" spans="1:10" x14ac:dyDescent="0.3">
      <c r="A328" s="76" t="s">
        <v>448</v>
      </c>
      <c r="B328" s="77">
        <f>$B$123*$B$30*(1+$B$85)</f>
        <v>2600.0333333333338</v>
      </c>
      <c r="C328" s="78" t="s">
        <v>285</v>
      </c>
      <c r="D328" s="76" t="s">
        <v>413</v>
      </c>
      <c r="E328" s="78" t="s">
        <v>449</v>
      </c>
      <c r="F328" s="68">
        <v>0.95</v>
      </c>
      <c r="G328" s="13">
        <f>IF(D328="Material",B328*F328,0)</f>
        <v>2470.0316666666668</v>
      </c>
      <c r="H328" s="13">
        <f>IF(D328="Labor",B328*F328,0)</f>
        <v>0</v>
      </c>
      <c r="I328" s="13">
        <f>G328+H328</f>
        <v>2470.0316666666668</v>
      </c>
      <c r="J328" s="78" t="s">
        <v>450</v>
      </c>
    </row>
    <row r="329" spans="1:10" x14ac:dyDescent="0.3">
      <c r="A329" s="76" t="s">
        <v>451</v>
      </c>
      <c r="B329" s="79">
        <f>ROUNDUP(B328/$B$86,0)</f>
        <v>5</v>
      </c>
      <c r="C329" s="78" t="s">
        <v>452</v>
      </c>
      <c r="D329" s="76" t="s">
        <v>413</v>
      </c>
      <c r="E329" s="78" t="s">
        <v>453</v>
      </c>
      <c r="F329" s="68">
        <v>0</v>
      </c>
      <c r="G329" s="13">
        <f>IF(D329="Material",B329*F329,0)</f>
        <v>0</v>
      </c>
      <c r="H329" s="13">
        <f>IF(D329="Labor",B329*F329,0)</f>
        <v>0</v>
      </c>
      <c r="I329" s="13">
        <f>G329+H329</f>
        <v>0</v>
      </c>
      <c r="J329" s="78" t="s">
        <v>454</v>
      </c>
    </row>
    <row r="330" spans="1:10" x14ac:dyDescent="0.3">
      <c r="A330" s="16" t="s">
        <v>455</v>
      </c>
      <c r="B330" s="20"/>
      <c r="C330" s="20"/>
      <c r="D330" s="20"/>
      <c r="E330" s="20"/>
      <c r="F330" s="20"/>
      <c r="G330" s="80">
        <f>SUM(G328:G329)</f>
        <v>2470.0316666666668</v>
      </c>
      <c r="H330" s="80">
        <f>SUM(H328:H329)</f>
        <v>0</v>
      </c>
      <c r="I330" s="80">
        <f>SUM(I328:I329)</f>
        <v>2470.0316666666668</v>
      </c>
      <c r="J330" s="20"/>
    </row>
    <row r="332" spans="1:10" x14ac:dyDescent="0.3">
      <c r="A332" s="6" t="s">
        <v>456</v>
      </c>
    </row>
    <row r="333" spans="1:10" x14ac:dyDescent="0.3">
      <c r="A333" s="76" t="s">
        <v>457</v>
      </c>
      <c r="B333" s="77">
        <f>$B$299*(1+$B$84)</f>
        <v>20.061985596707824</v>
      </c>
      <c r="C333" s="78" t="s">
        <v>379</v>
      </c>
      <c r="D333" s="76" t="s">
        <v>413</v>
      </c>
      <c r="E333" s="78" t="s">
        <v>458</v>
      </c>
      <c r="F333" s="81">
        <f>$B$81+$B$82</f>
        <v>220</v>
      </c>
      <c r="G333" s="13">
        <f t="shared" ref="G333:G339" si="3">IF(D333="Material",B333*F333,0)</f>
        <v>4413.6368312757213</v>
      </c>
      <c r="H333" s="13">
        <f t="shared" ref="H333:H339" si="4">IF(D333="Labor",B333*F333,0)</f>
        <v>0</v>
      </c>
      <c r="I333" s="13">
        <f t="shared" ref="I333:I339" si="5">G333+H333</f>
        <v>4413.6368312757213</v>
      </c>
      <c r="J333" s="78" t="s">
        <v>459</v>
      </c>
    </row>
    <row r="334" spans="1:10" x14ac:dyDescent="0.3">
      <c r="A334" s="76" t="s">
        <v>460</v>
      </c>
      <c r="B334" s="77">
        <f>$B$300*(1+$B$84)</f>
        <v>8.0247942386831301</v>
      </c>
      <c r="C334" s="78" t="s">
        <v>379</v>
      </c>
      <c r="D334" s="76" t="s">
        <v>413</v>
      </c>
      <c r="E334" s="78" t="s">
        <v>461</v>
      </c>
      <c r="F334" s="81">
        <f>$B$81+$B$82</f>
        <v>220</v>
      </c>
      <c r="G334" s="13">
        <f t="shared" si="3"/>
        <v>1765.4547325102885</v>
      </c>
      <c r="H334" s="13">
        <f t="shared" si="4"/>
        <v>0</v>
      </c>
      <c r="I334" s="13">
        <f t="shared" si="5"/>
        <v>1765.4547325102885</v>
      </c>
      <c r="J334" s="78" t="s">
        <v>462</v>
      </c>
    </row>
    <row r="335" spans="1:10" x14ac:dyDescent="0.3">
      <c r="A335" s="76" t="s">
        <v>463</v>
      </c>
      <c r="B335" s="77">
        <f>$B$301*(1+$B$84)</f>
        <v>18.055787037037042</v>
      </c>
      <c r="C335" s="78" t="s">
        <v>379</v>
      </c>
      <c r="D335" s="76" t="s">
        <v>413</v>
      </c>
      <c r="E335" s="78" t="s">
        <v>464</v>
      </c>
      <c r="F335" s="81">
        <f>$B$81+$B$82</f>
        <v>220</v>
      </c>
      <c r="G335" s="13">
        <f t="shared" si="3"/>
        <v>3972.2731481481492</v>
      </c>
      <c r="H335" s="13">
        <f t="shared" si="4"/>
        <v>0</v>
      </c>
      <c r="I335" s="13">
        <f t="shared" si="5"/>
        <v>3972.2731481481492</v>
      </c>
      <c r="J335" s="78" t="s">
        <v>465</v>
      </c>
    </row>
    <row r="336" spans="1:10" x14ac:dyDescent="0.3">
      <c r="A336" s="76" t="s">
        <v>466</v>
      </c>
      <c r="B336" s="77">
        <f>$B$303</f>
        <v>46.142566872427992</v>
      </c>
      <c r="C336" s="78" t="s">
        <v>379</v>
      </c>
      <c r="D336" s="76" t="s">
        <v>413</v>
      </c>
      <c r="E336" s="78" t="s">
        <v>467</v>
      </c>
      <c r="F336" s="68">
        <v>0</v>
      </c>
      <c r="G336" s="13">
        <f t="shared" si="3"/>
        <v>0</v>
      </c>
      <c r="H336" s="13">
        <f t="shared" si="4"/>
        <v>0</v>
      </c>
      <c r="I336" s="13">
        <f t="shared" si="5"/>
        <v>0</v>
      </c>
      <c r="J336" s="78" t="s">
        <v>468</v>
      </c>
    </row>
    <row r="337" spans="1:10" x14ac:dyDescent="0.3">
      <c r="A337" s="76" t="s">
        <v>469</v>
      </c>
      <c r="B337" s="77">
        <f>$B$303</f>
        <v>46.142566872427992</v>
      </c>
      <c r="C337" s="78" t="s">
        <v>379</v>
      </c>
      <c r="D337" s="76" t="s">
        <v>413</v>
      </c>
      <c r="E337" s="78" t="s">
        <v>470</v>
      </c>
      <c r="F337" s="68">
        <v>0</v>
      </c>
      <c r="G337" s="13">
        <f t="shared" si="3"/>
        <v>0</v>
      </c>
      <c r="H337" s="13">
        <f t="shared" si="4"/>
        <v>0</v>
      </c>
      <c r="I337" s="13">
        <f t="shared" si="5"/>
        <v>0</v>
      </c>
      <c r="J337" s="78" t="s">
        <v>471</v>
      </c>
    </row>
    <row r="338" spans="1:10" x14ac:dyDescent="0.3">
      <c r="A338" s="76" t="s">
        <v>472</v>
      </c>
      <c r="B338" s="79">
        <f>$B$303*$B$80</f>
        <v>27685.540123456794</v>
      </c>
      <c r="C338" s="78" t="s">
        <v>220</v>
      </c>
      <c r="D338" s="76" t="s">
        <v>413</v>
      </c>
      <c r="E338" s="78" t="s">
        <v>473</v>
      </c>
      <c r="F338" s="68">
        <v>0</v>
      </c>
      <c r="G338" s="13">
        <f t="shared" si="3"/>
        <v>0</v>
      </c>
      <c r="H338" s="13">
        <f t="shared" si="4"/>
        <v>0</v>
      </c>
      <c r="I338" s="13">
        <f t="shared" si="5"/>
        <v>0</v>
      </c>
      <c r="J338" s="78" t="s">
        <v>474</v>
      </c>
    </row>
    <row r="339" spans="1:10" x14ac:dyDescent="0.3">
      <c r="A339" s="76" t="s">
        <v>475</v>
      </c>
      <c r="B339" s="79">
        <f>ROUNDUP($B$303*$B$304,0)</f>
        <v>295</v>
      </c>
      <c r="C339" s="78" t="s">
        <v>476</v>
      </c>
      <c r="D339" s="76" t="s">
        <v>413</v>
      </c>
      <c r="E339" s="78" t="s">
        <v>477</v>
      </c>
      <c r="F339" s="68">
        <v>0</v>
      </c>
      <c r="G339" s="13">
        <f t="shared" si="3"/>
        <v>0</v>
      </c>
      <c r="H339" s="13">
        <f t="shared" si="4"/>
        <v>0</v>
      </c>
      <c r="I339" s="13">
        <f t="shared" si="5"/>
        <v>0</v>
      </c>
      <c r="J339" s="78" t="s">
        <v>478</v>
      </c>
    </row>
    <row r="340" spans="1:10" x14ac:dyDescent="0.3">
      <c r="A340" s="16" t="s">
        <v>479</v>
      </c>
      <c r="B340" s="20"/>
      <c r="C340" s="20"/>
      <c r="D340" s="20"/>
      <c r="E340" s="20"/>
      <c r="F340" s="20"/>
      <c r="G340" s="80">
        <f>SUM(G333:G339)</f>
        <v>10151.364711934159</v>
      </c>
      <c r="H340" s="80">
        <f>SUM(H333:H339)</f>
        <v>0</v>
      </c>
      <c r="I340" s="80">
        <f>SUM(I333:I339)</f>
        <v>10151.364711934159</v>
      </c>
      <c r="J340" s="20"/>
    </row>
    <row r="342" spans="1:10" x14ac:dyDescent="0.3">
      <c r="A342" s="6" t="s">
        <v>480</v>
      </c>
    </row>
    <row r="343" spans="1:10" x14ac:dyDescent="0.3">
      <c r="A343" s="76" t="s">
        <v>481</v>
      </c>
      <c r="B343" s="79">
        <f>$B$292</f>
        <v>520</v>
      </c>
      <c r="C343" s="78" t="s">
        <v>129</v>
      </c>
      <c r="D343" s="76" t="s">
        <v>413</v>
      </c>
      <c r="E343" s="78" t="s">
        <v>482</v>
      </c>
      <c r="F343" s="68">
        <v>0.6</v>
      </c>
      <c r="G343" s="13">
        <f>IF(D343="Material",B343*F343,0)</f>
        <v>312</v>
      </c>
      <c r="H343" s="13">
        <f>IF(D343="Labor",B343*F343,0)</f>
        <v>0</v>
      </c>
      <c r="I343" s="13">
        <f>G343+H343</f>
        <v>312</v>
      </c>
      <c r="J343" s="78" t="s">
        <v>483</v>
      </c>
    </row>
    <row r="344" spans="1:10" x14ac:dyDescent="0.3">
      <c r="A344" s="16" t="s">
        <v>484</v>
      </c>
      <c r="B344" s="20"/>
      <c r="C344" s="20"/>
      <c r="D344" s="20"/>
      <c r="E344" s="20"/>
      <c r="F344" s="20"/>
      <c r="G344" s="80">
        <f>SUM(G343:G343)</f>
        <v>312</v>
      </c>
      <c r="H344" s="80">
        <f>SUM(H343:H343)</f>
        <v>0</v>
      </c>
      <c r="I344" s="80">
        <f>SUM(I343:I343)</f>
        <v>312</v>
      </c>
      <c r="J344" s="20"/>
    </row>
    <row r="346" spans="1:10" x14ac:dyDescent="0.3">
      <c r="A346" s="6" t="s">
        <v>485</v>
      </c>
    </row>
    <row r="347" spans="1:10" x14ac:dyDescent="0.3">
      <c r="A347" s="76" t="s">
        <v>486</v>
      </c>
      <c r="B347" s="77">
        <f>$B$307*1.1</f>
        <v>220.00000000000003</v>
      </c>
      <c r="C347" s="78" t="s">
        <v>285</v>
      </c>
      <c r="D347" s="76" t="s">
        <v>413</v>
      </c>
      <c r="E347" s="78" t="s">
        <v>487</v>
      </c>
      <c r="F347" s="68">
        <v>0.12</v>
      </c>
      <c r="G347" s="13">
        <f>IF(D347="Material",B347*F347,0)</f>
        <v>26.400000000000002</v>
      </c>
      <c r="H347" s="13">
        <f>IF(D347="Labor",B347*F347,0)</f>
        <v>0</v>
      </c>
      <c r="I347" s="13">
        <f>G347+H347</f>
        <v>26.400000000000002</v>
      </c>
      <c r="J347" s="78" t="s">
        <v>488</v>
      </c>
    </row>
    <row r="348" spans="1:10" x14ac:dyDescent="0.3">
      <c r="A348" s="76" t="s">
        <v>489</v>
      </c>
      <c r="B348" s="77">
        <f>$B$308</f>
        <v>132</v>
      </c>
      <c r="C348" s="78" t="s">
        <v>282</v>
      </c>
      <c r="D348" s="76" t="s">
        <v>413</v>
      </c>
      <c r="E348" s="78" t="s">
        <v>490</v>
      </c>
      <c r="F348" s="68">
        <v>1.8</v>
      </c>
      <c r="G348" s="13">
        <f>IF(D348="Material",B348*F348,0)</f>
        <v>237.6</v>
      </c>
      <c r="H348" s="13">
        <f>IF(D348="Labor",B348*F348,0)</f>
        <v>0</v>
      </c>
      <c r="I348" s="13">
        <f>G348+H348</f>
        <v>237.6</v>
      </c>
      <c r="J348" s="78" t="s">
        <v>491</v>
      </c>
    </row>
    <row r="349" spans="1:10" x14ac:dyDescent="0.3">
      <c r="A349" s="16" t="s">
        <v>492</v>
      </c>
      <c r="B349" s="20"/>
      <c r="C349" s="20"/>
      <c r="D349" s="20"/>
      <c r="E349" s="20"/>
      <c r="F349" s="20"/>
      <c r="G349" s="80">
        <f>SUM(G347:G348)</f>
        <v>264</v>
      </c>
      <c r="H349" s="80">
        <f>SUM(H347:H348)</f>
        <v>0</v>
      </c>
      <c r="I349" s="80">
        <f>SUM(I347:I348)</f>
        <v>264</v>
      </c>
      <c r="J349" s="20"/>
    </row>
    <row r="351" spans="1:10" x14ac:dyDescent="0.3">
      <c r="A351" s="6" t="s">
        <v>493</v>
      </c>
    </row>
    <row r="352" spans="1:10" x14ac:dyDescent="0.3">
      <c r="A352" s="76" t="s">
        <v>494</v>
      </c>
      <c r="B352" s="79">
        <f>$B$295</f>
        <v>34</v>
      </c>
      <c r="C352" s="78" t="s">
        <v>129</v>
      </c>
      <c r="D352" s="76" t="s">
        <v>413</v>
      </c>
      <c r="E352" s="78" t="s">
        <v>495</v>
      </c>
      <c r="F352" s="68">
        <v>6</v>
      </c>
      <c r="G352" s="13">
        <f>IF(D352="Material",B352*F352,0)</f>
        <v>204</v>
      </c>
      <c r="H352" s="13">
        <f>IF(D352="Labor",B352*F352,0)</f>
        <v>0</v>
      </c>
      <c r="I352" s="13">
        <f>G352+H352</f>
        <v>204</v>
      </c>
      <c r="J352" s="78" t="s">
        <v>496</v>
      </c>
    </row>
    <row r="353" spans="1:10" x14ac:dyDescent="0.3">
      <c r="A353" s="76" t="s">
        <v>497</v>
      </c>
      <c r="B353" s="77">
        <f>$B$296</f>
        <v>206</v>
      </c>
      <c r="C353" s="78" t="s">
        <v>282</v>
      </c>
      <c r="D353" s="76" t="s">
        <v>413</v>
      </c>
      <c r="E353" s="78" t="s">
        <v>498</v>
      </c>
      <c r="F353" s="68">
        <v>1.25</v>
      </c>
      <c r="G353" s="13">
        <f>IF(D353="Material",B353*F353,0)</f>
        <v>257.5</v>
      </c>
      <c r="H353" s="13">
        <f>IF(D353="Labor",B353*F353,0)</f>
        <v>0</v>
      </c>
      <c r="I353" s="13">
        <f>G353+H353</f>
        <v>257.5</v>
      </c>
      <c r="J353" s="78" t="s">
        <v>499</v>
      </c>
    </row>
    <row r="354" spans="1:10" x14ac:dyDescent="0.3">
      <c r="A354" s="76" t="s">
        <v>500</v>
      </c>
      <c r="B354" s="77">
        <f>$B$297</f>
        <v>15</v>
      </c>
      <c r="C354" s="78" t="s">
        <v>282</v>
      </c>
      <c r="D354" s="76" t="s">
        <v>413</v>
      </c>
      <c r="E354" s="78" t="s">
        <v>501</v>
      </c>
      <c r="F354" s="68">
        <v>4</v>
      </c>
      <c r="G354" s="13">
        <f>IF(D354="Material",B354*F354,0)</f>
        <v>60</v>
      </c>
      <c r="H354" s="13">
        <f>IF(D354="Labor",B354*F354,0)</f>
        <v>0</v>
      </c>
      <c r="I354" s="13">
        <f>G354+H354</f>
        <v>60</v>
      </c>
      <c r="J354" s="78" t="s">
        <v>502</v>
      </c>
    </row>
    <row r="355" spans="1:10" x14ac:dyDescent="0.3">
      <c r="A355" s="76" t="s">
        <v>503</v>
      </c>
      <c r="B355" s="77">
        <f>$B$298</f>
        <v>16</v>
      </c>
      <c r="C355" s="78" t="s">
        <v>282</v>
      </c>
      <c r="D355" s="76" t="s">
        <v>413</v>
      </c>
      <c r="E355" s="78" t="s">
        <v>377</v>
      </c>
      <c r="F355" s="68">
        <v>2.5</v>
      </c>
      <c r="G355" s="13">
        <f>IF(D355="Material",B355*F355,0)</f>
        <v>40</v>
      </c>
      <c r="H355" s="13">
        <f>IF(D355="Labor",B355*F355,0)</f>
        <v>0</v>
      </c>
      <c r="I355" s="13">
        <f>G355+H355</f>
        <v>40</v>
      </c>
      <c r="J355" s="78" t="s">
        <v>502</v>
      </c>
    </row>
    <row r="356" spans="1:10" x14ac:dyDescent="0.3">
      <c r="A356" s="16" t="s">
        <v>504</v>
      </c>
      <c r="B356" s="20"/>
      <c r="C356" s="20"/>
      <c r="D356" s="20"/>
      <c r="E356" s="20"/>
      <c r="F356" s="20"/>
      <c r="G356" s="80">
        <f>SUM(G352:G355)</f>
        <v>561.5</v>
      </c>
      <c r="H356" s="80">
        <f>SUM(H352:H355)</f>
        <v>0</v>
      </c>
      <c r="I356" s="80">
        <f>SUM(I352:I355)</f>
        <v>561.5</v>
      </c>
      <c r="J356" s="20"/>
    </row>
    <row r="358" spans="1:10" x14ac:dyDescent="0.3">
      <c r="A358" s="6" t="s">
        <v>505</v>
      </c>
    </row>
    <row r="359" spans="1:10" x14ac:dyDescent="0.3">
      <c r="A359" s="76" t="s">
        <v>506</v>
      </c>
      <c r="B359" s="77">
        <f>$B$95</f>
        <v>16</v>
      </c>
      <c r="C359" s="78" t="s">
        <v>244</v>
      </c>
      <c r="D359" s="76" t="s">
        <v>23</v>
      </c>
      <c r="E359" s="78" t="s">
        <v>507</v>
      </c>
      <c r="F359" s="81">
        <f t="shared" ref="F359:F367" si="6">$B$94</f>
        <v>35</v>
      </c>
      <c r="G359" s="13">
        <f t="shared" ref="G359:G367" si="7">IF(D359="Material",B359*F359,0)</f>
        <v>0</v>
      </c>
      <c r="H359" s="13">
        <f t="shared" ref="H359:H367" si="8">IF(D359="Labor",B359*F359,0)</f>
        <v>560</v>
      </c>
      <c r="I359" s="13">
        <f t="shared" ref="I359:I367" si="9">G359+H359</f>
        <v>560</v>
      </c>
      <c r="J359" s="78" t="s">
        <v>508</v>
      </c>
    </row>
    <row r="360" spans="1:10" x14ac:dyDescent="0.3">
      <c r="A360" s="76" t="s">
        <v>509</v>
      </c>
      <c r="B360" s="77">
        <f>$B$121*$B$96</f>
        <v>146</v>
      </c>
      <c r="C360" s="78" t="s">
        <v>244</v>
      </c>
      <c r="D360" s="76" t="s">
        <v>23</v>
      </c>
      <c r="E360" s="78" t="s">
        <v>510</v>
      </c>
      <c r="F360" s="81">
        <f t="shared" si="6"/>
        <v>35</v>
      </c>
      <c r="G360" s="13">
        <f t="shared" si="7"/>
        <v>0</v>
      </c>
      <c r="H360" s="13">
        <f t="shared" si="8"/>
        <v>5110</v>
      </c>
      <c r="I360" s="13">
        <f t="shared" si="9"/>
        <v>5110</v>
      </c>
      <c r="J360" s="78" t="s">
        <v>508</v>
      </c>
    </row>
    <row r="361" spans="1:10" x14ac:dyDescent="0.3">
      <c r="A361" s="76" t="s">
        <v>249</v>
      </c>
      <c r="B361" s="77">
        <f>$B$123*$B$97</f>
        <v>35.455000000000005</v>
      </c>
      <c r="C361" s="78" t="s">
        <v>244</v>
      </c>
      <c r="D361" s="76" t="s">
        <v>23</v>
      </c>
      <c r="E361" s="78" t="s">
        <v>511</v>
      </c>
      <c r="F361" s="81">
        <f t="shared" si="6"/>
        <v>35</v>
      </c>
      <c r="G361" s="13">
        <f t="shared" si="7"/>
        <v>0</v>
      </c>
      <c r="H361" s="13">
        <f t="shared" si="8"/>
        <v>1240.9250000000002</v>
      </c>
      <c r="I361" s="13">
        <f t="shared" si="9"/>
        <v>1240.9250000000002</v>
      </c>
      <c r="J361" s="78" t="s">
        <v>508</v>
      </c>
    </row>
    <row r="362" spans="1:10" x14ac:dyDescent="0.3">
      <c r="A362" s="76" t="s">
        <v>252</v>
      </c>
      <c r="B362" s="77">
        <f>($B$299+$B$300)*(1+$B$84)*$B$98</f>
        <v>42.130169753086427</v>
      </c>
      <c r="C362" s="78" t="s">
        <v>244</v>
      </c>
      <c r="D362" s="76" t="s">
        <v>23</v>
      </c>
      <c r="E362" s="78" t="s">
        <v>512</v>
      </c>
      <c r="F362" s="81">
        <f t="shared" si="6"/>
        <v>35</v>
      </c>
      <c r="G362" s="13">
        <f t="shared" si="7"/>
        <v>0</v>
      </c>
      <c r="H362" s="13">
        <f t="shared" si="8"/>
        <v>1474.5559413580249</v>
      </c>
      <c r="I362" s="13">
        <f t="shared" si="9"/>
        <v>1474.5559413580249</v>
      </c>
      <c r="J362" s="78" t="s">
        <v>508</v>
      </c>
    </row>
    <row r="363" spans="1:10" x14ac:dyDescent="0.3">
      <c r="A363" s="76" t="s">
        <v>513</v>
      </c>
      <c r="B363" s="77">
        <f>$B$106*$B$99</f>
        <v>51</v>
      </c>
      <c r="C363" s="78" t="s">
        <v>244</v>
      </c>
      <c r="D363" s="76" t="s">
        <v>23</v>
      </c>
      <c r="E363" s="78" t="s">
        <v>514</v>
      </c>
      <c r="F363" s="81">
        <f t="shared" si="6"/>
        <v>35</v>
      </c>
      <c r="G363" s="13">
        <f t="shared" si="7"/>
        <v>0</v>
      </c>
      <c r="H363" s="13">
        <f t="shared" si="8"/>
        <v>1785</v>
      </c>
      <c r="I363" s="13">
        <f t="shared" si="9"/>
        <v>1785</v>
      </c>
      <c r="J363" s="78" t="s">
        <v>515</v>
      </c>
    </row>
    <row r="364" spans="1:10" x14ac:dyDescent="0.3">
      <c r="A364" s="76" t="s">
        <v>258</v>
      </c>
      <c r="B364" s="77">
        <f>$B$106*$B$100</f>
        <v>25.5</v>
      </c>
      <c r="C364" s="78" t="s">
        <v>244</v>
      </c>
      <c r="D364" s="76" t="s">
        <v>23</v>
      </c>
      <c r="E364" s="78" t="s">
        <v>514</v>
      </c>
      <c r="F364" s="81">
        <f t="shared" si="6"/>
        <v>35</v>
      </c>
      <c r="G364" s="13">
        <f t="shared" si="7"/>
        <v>0</v>
      </c>
      <c r="H364" s="13">
        <f t="shared" si="8"/>
        <v>892.5</v>
      </c>
      <c r="I364" s="13">
        <f t="shared" si="9"/>
        <v>892.5</v>
      </c>
      <c r="J364" s="78" t="s">
        <v>508</v>
      </c>
    </row>
    <row r="365" spans="1:10" x14ac:dyDescent="0.3">
      <c r="A365" s="76" t="s">
        <v>516</v>
      </c>
      <c r="B365" s="77">
        <f>$B$106*$B$101</f>
        <v>34</v>
      </c>
      <c r="C365" s="78" t="s">
        <v>244</v>
      </c>
      <c r="D365" s="76" t="s">
        <v>23</v>
      </c>
      <c r="E365" s="78" t="s">
        <v>514</v>
      </c>
      <c r="F365" s="81">
        <f t="shared" si="6"/>
        <v>35</v>
      </c>
      <c r="G365" s="13">
        <f t="shared" si="7"/>
        <v>0</v>
      </c>
      <c r="H365" s="13">
        <f t="shared" si="8"/>
        <v>1190</v>
      </c>
      <c r="I365" s="13">
        <f t="shared" si="9"/>
        <v>1190</v>
      </c>
      <c r="J365" s="78" t="s">
        <v>517</v>
      </c>
    </row>
    <row r="366" spans="1:10" x14ac:dyDescent="0.3">
      <c r="A366" s="76" t="s">
        <v>518</v>
      </c>
      <c r="B366" s="77">
        <f>$B$106*$B$102</f>
        <v>34</v>
      </c>
      <c r="C366" s="78" t="s">
        <v>244</v>
      </c>
      <c r="D366" s="76" t="s">
        <v>23</v>
      </c>
      <c r="E366" s="78" t="s">
        <v>514</v>
      </c>
      <c r="F366" s="81">
        <f t="shared" si="6"/>
        <v>35</v>
      </c>
      <c r="G366" s="13">
        <f t="shared" si="7"/>
        <v>0</v>
      </c>
      <c r="H366" s="13">
        <f t="shared" si="8"/>
        <v>1190</v>
      </c>
      <c r="I366" s="13">
        <f t="shared" si="9"/>
        <v>1190</v>
      </c>
      <c r="J366" s="78" t="s">
        <v>508</v>
      </c>
    </row>
    <row r="367" spans="1:10" x14ac:dyDescent="0.3">
      <c r="A367" s="76" t="s">
        <v>262</v>
      </c>
      <c r="B367" s="77">
        <f>$B$301*(1+$B$84)*$B$103</f>
        <v>36.111574074074085</v>
      </c>
      <c r="C367" s="78" t="s">
        <v>244</v>
      </c>
      <c r="D367" s="76" t="s">
        <v>23</v>
      </c>
      <c r="E367" s="78" t="s">
        <v>512</v>
      </c>
      <c r="F367" s="81">
        <f t="shared" si="6"/>
        <v>35</v>
      </c>
      <c r="G367" s="13">
        <f t="shared" si="7"/>
        <v>0</v>
      </c>
      <c r="H367" s="13">
        <f t="shared" si="8"/>
        <v>1263.9050925925931</v>
      </c>
      <c r="I367" s="13">
        <f t="shared" si="9"/>
        <v>1263.9050925925931</v>
      </c>
      <c r="J367" s="78" t="s">
        <v>519</v>
      </c>
    </row>
    <row r="368" spans="1:10" x14ac:dyDescent="0.3">
      <c r="A368" s="16" t="s">
        <v>520</v>
      </c>
      <c r="B368" s="20"/>
      <c r="C368" s="20"/>
      <c r="D368" s="20"/>
      <c r="E368" s="20"/>
      <c r="F368" s="20"/>
      <c r="G368" s="80">
        <f>SUM(G359:G367)</f>
        <v>0</v>
      </c>
      <c r="H368" s="80">
        <f>SUM(H359:H367)</f>
        <v>14706.886033950619</v>
      </c>
      <c r="I368" s="80">
        <f>SUM(I359:I367)</f>
        <v>14706.886033950619</v>
      </c>
      <c r="J368" s="20"/>
    </row>
    <row r="370" spans="1:10" x14ac:dyDescent="0.3">
      <c r="A370" s="82" t="s">
        <v>521</v>
      </c>
      <c r="B370" s="83"/>
      <c r="C370" s="83"/>
      <c r="D370" s="83"/>
      <c r="E370" s="83"/>
      <c r="F370" s="83"/>
      <c r="G370" s="84">
        <f>G325+G330+G340+G344+G349+G356+G368</f>
        <v>19121.442836934159</v>
      </c>
      <c r="H370" s="84">
        <f>H325+H330+H340+H344+H349+H356+H368</f>
        <v>14706.886033950619</v>
      </c>
      <c r="I370" s="84">
        <f>G370+H370</f>
        <v>33828.328870884776</v>
      </c>
      <c r="J370" s="83"/>
    </row>
    <row r="371" spans="1:10" x14ac:dyDescent="0.3">
      <c r="A371" s="21" t="s">
        <v>522</v>
      </c>
      <c r="I371" s="85">
        <f>$I$370*(1+$B$91)</f>
        <v>37211.161757973256</v>
      </c>
    </row>
    <row r="372" spans="1:10" x14ac:dyDescent="0.3">
      <c r="A372" s="21" t="s">
        <v>523</v>
      </c>
      <c r="I372" s="85">
        <f>$I$371/$B$106</f>
        <v>1094.445934058037</v>
      </c>
    </row>
    <row r="373" spans="1:10" x14ac:dyDescent="0.3">
      <c r="A373" s="21" t="s">
        <v>524</v>
      </c>
      <c r="I373" s="22">
        <f>$I$371/$B$121</f>
        <v>25.487097094502229</v>
      </c>
    </row>
    <row r="374" spans="1:10" x14ac:dyDescent="0.3">
      <c r="A374" s="21" t="s">
        <v>525</v>
      </c>
      <c r="I374" s="22">
        <f>$I$371/$B$123</f>
        <v>31.485963975157173</v>
      </c>
    </row>
    <row r="375" spans="1:10" x14ac:dyDescent="0.3">
      <c r="A375" s="2" t="s">
        <v>526</v>
      </c>
    </row>
    <row r="376" spans="1:10" x14ac:dyDescent="0.3">
      <c r="A376" s="2" t="s">
        <v>527</v>
      </c>
    </row>
  </sheetData>
  <hyperlinks>
    <hyperlink ref="G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6"/>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14" customWidth="1"/>
    <col min="5" max="5" width="34" customWidth="1"/>
    <col min="6" max="6" width="12" customWidth="1"/>
    <col min="7" max="9" width="13" customWidth="1"/>
    <col min="10" max="10" width="60" customWidth="1"/>
  </cols>
  <sheetData>
    <row r="1" spans="1:10" ht="17.399999999999999" x14ac:dyDescent="0.3">
      <c r="A1" s="53" t="s">
        <v>528</v>
      </c>
    </row>
    <row r="2" spans="1:10" ht="43.95" customHeight="1" x14ac:dyDescent="0.3">
      <c r="A2" s="105" t="s">
        <v>529</v>
      </c>
      <c r="B2" s="106"/>
      <c r="C2" s="106"/>
      <c r="D2" s="106"/>
      <c r="E2" s="106"/>
      <c r="F2" s="106"/>
      <c r="G2" s="106"/>
      <c r="H2" s="106"/>
      <c r="I2" s="106"/>
      <c r="J2" s="106"/>
    </row>
    <row r="3" spans="1:10" x14ac:dyDescent="0.3">
      <c r="A3" s="3" t="s">
        <v>111</v>
      </c>
    </row>
    <row r="5" spans="1:10" x14ac:dyDescent="0.3">
      <c r="A5" s="4" t="s">
        <v>530</v>
      </c>
      <c r="B5" s="5"/>
      <c r="C5" s="5"/>
      <c r="D5" s="5"/>
      <c r="E5" s="5"/>
      <c r="F5" s="5"/>
      <c r="G5" s="5"/>
      <c r="H5" s="5"/>
      <c r="I5" s="5"/>
      <c r="J5" s="5"/>
    </row>
    <row r="6" spans="1:10" x14ac:dyDescent="0.3">
      <c r="A6" s="21" t="s">
        <v>9</v>
      </c>
      <c r="B6" s="64" t="str">
        <f>Summary!$B$6</f>
        <v>shed</v>
      </c>
      <c r="C6" s="2"/>
      <c r="D6" s="2" t="s">
        <v>531</v>
      </c>
    </row>
    <row r="8" spans="1:10" x14ac:dyDescent="0.3">
      <c r="A8" s="11" t="s">
        <v>532</v>
      </c>
      <c r="B8" s="11" t="s">
        <v>533</v>
      </c>
      <c r="C8" s="11" t="s">
        <v>403</v>
      </c>
      <c r="D8" s="11" t="s">
        <v>10</v>
      </c>
      <c r="E8" s="11" t="s">
        <v>534</v>
      </c>
      <c r="F8" s="11" t="s">
        <v>535</v>
      </c>
    </row>
    <row r="9" spans="1:10" x14ac:dyDescent="0.3">
      <c r="A9" s="21" t="s">
        <v>536</v>
      </c>
      <c r="B9" s="76">
        <f>IF($B$6="shed",D9,E9)</f>
        <v>150</v>
      </c>
      <c r="C9" s="2" t="s">
        <v>134</v>
      </c>
      <c r="D9" s="63">
        <v>150</v>
      </c>
      <c r="E9" s="63">
        <v>120</v>
      </c>
      <c r="F9" s="2" t="s">
        <v>537</v>
      </c>
    </row>
    <row r="10" spans="1:10" x14ac:dyDescent="0.3">
      <c r="A10" s="21" t="s">
        <v>538</v>
      </c>
      <c r="B10" s="66">
        <f>IF($B$6="shed",D10,E10)</f>
        <v>1</v>
      </c>
      <c r="C10" s="2" t="s">
        <v>539</v>
      </c>
      <c r="D10" s="86">
        <v>1</v>
      </c>
      <c r="E10" s="86">
        <v>0</v>
      </c>
      <c r="F10" s="2" t="s">
        <v>540</v>
      </c>
    </row>
    <row r="11" spans="1:10" x14ac:dyDescent="0.3">
      <c r="A11" s="21" t="s">
        <v>541</v>
      </c>
      <c r="B11" s="87">
        <f>IF($B$6="shed",D11,E11)</f>
        <v>1</v>
      </c>
      <c r="C11" s="2" t="s">
        <v>542</v>
      </c>
      <c r="D11" s="88">
        <v>1</v>
      </c>
      <c r="E11" s="88">
        <v>6.25E-2</v>
      </c>
      <c r="F11" s="2" t="s">
        <v>543</v>
      </c>
    </row>
    <row r="12" spans="1:10" x14ac:dyDescent="0.3">
      <c r="A12" s="21" t="s">
        <v>544</v>
      </c>
      <c r="B12" s="76">
        <f>IF($B$6="shed",D12,E12)</f>
        <v>24</v>
      </c>
      <c r="C12" s="2" t="s">
        <v>134</v>
      </c>
      <c r="D12" s="63">
        <v>24</v>
      </c>
      <c r="E12" s="63">
        <v>12</v>
      </c>
      <c r="F12" s="2" t="s">
        <v>545</v>
      </c>
    </row>
    <row r="14" spans="1:10" x14ac:dyDescent="0.3">
      <c r="A14" s="4" t="s">
        <v>546</v>
      </c>
      <c r="B14" s="5"/>
      <c r="C14" s="5"/>
      <c r="D14" s="5"/>
      <c r="E14" s="5"/>
      <c r="F14" s="5"/>
      <c r="G14" s="5"/>
      <c r="H14" s="5"/>
      <c r="I14" s="5"/>
      <c r="J14" s="5"/>
    </row>
    <row r="15" spans="1:10" x14ac:dyDescent="0.3">
      <c r="A15" s="21" t="s">
        <v>547</v>
      </c>
      <c r="B15" s="64">
        <f>Walls!$B$15</f>
        <v>10</v>
      </c>
      <c r="C15" s="2" t="s">
        <v>129</v>
      </c>
      <c r="D15" s="2" t="s">
        <v>548</v>
      </c>
    </row>
    <row r="16" spans="1:10" x14ac:dyDescent="0.3">
      <c r="A16" s="21" t="s">
        <v>278</v>
      </c>
      <c r="B16" s="64">
        <f>Walls!$B$116</f>
        <v>480</v>
      </c>
      <c r="C16" s="2" t="s">
        <v>134</v>
      </c>
      <c r="D16" s="2" t="s">
        <v>548</v>
      </c>
    </row>
    <row r="17" spans="1:4" x14ac:dyDescent="0.3">
      <c r="A17" s="21" t="s">
        <v>279</v>
      </c>
      <c r="B17" s="64">
        <f>Walls!$B$117</f>
        <v>359</v>
      </c>
      <c r="C17" s="2" t="s">
        <v>134</v>
      </c>
      <c r="D17" s="2" t="s">
        <v>548</v>
      </c>
    </row>
    <row r="18" spans="1:4" x14ac:dyDescent="0.3">
      <c r="A18" s="21" t="s">
        <v>274</v>
      </c>
      <c r="B18" s="64">
        <f>Walls!$B$114</f>
        <v>11.5</v>
      </c>
      <c r="C18" s="2" t="s">
        <v>134</v>
      </c>
      <c r="D18" s="2" t="s">
        <v>548</v>
      </c>
    </row>
    <row r="19" spans="1:4" x14ac:dyDescent="0.3">
      <c r="A19" s="21" t="s">
        <v>143</v>
      </c>
      <c r="B19" s="64">
        <f>Walls!$B$22</f>
        <v>1.5</v>
      </c>
      <c r="C19" s="2" t="s">
        <v>134</v>
      </c>
      <c r="D19" s="2" t="s">
        <v>548</v>
      </c>
    </row>
    <row r="20" spans="1:4" x14ac:dyDescent="0.3">
      <c r="A20" s="21" t="s">
        <v>154</v>
      </c>
      <c r="B20" s="64">
        <f>Walls!$B$28</f>
        <v>48</v>
      </c>
      <c r="C20" s="2" t="s">
        <v>134</v>
      </c>
      <c r="D20" s="2" t="s">
        <v>548</v>
      </c>
    </row>
    <row r="21" spans="1:4" x14ac:dyDescent="0.3">
      <c r="A21" s="21" t="s">
        <v>156</v>
      </c>
      <c r="B21" s="64">
        <f>Walls!$B$29</f>
        <v>12</v>
      </c>
      <c r="C21" s="2" t="s">
        <v>134</v>
      </c>
      <c r="D21" s="2" t="s">
        <v>548</v>
      </c>
    </row>
    <row r="22" spans="1:4" x14ac:dyDescent="0.3">
      <c r="A22" s="21" t="s">
        <v>549</v>
      </c>
      <c r="B22" s="64">
        <f>Walls!$B$43</f>
        <v>10</v>
      </c>
      <c r="C22" s="2" t="s">
        <v>129</v>
      </c>
      <c r="D22" s="2" t="s">
        <v>548</v>
      </c>
    </row>
    <row r="23" spans="1:4" x14ac:dyDescent="0.3">
      <c r="A23" s="21" t="s">
        <v>550</v>
      </c>
      <c r="B23" s="64">
        <f>Walls!$B$44</f>
        <v>40</v>
      </c>
      <c r="C23" s="2" t="s">
        <v>134</v>
      </c>
      <c r="D23" s="2" t="s">
        <v>548</v>
      </c>
    </row>
    <row r="24" spans="1:4" x14ac:dyDescent="0.3">
      <c r="A24" s="21" t="s">
        <v>551</v>
      </c>
      <c r="B24" s="64">
        <f>Walls!$B$45</f>
        <v>24</v>
      </c>
      <c r="C24" s="2" t="s">
        <v>134</v>
      </c>
      <c r="D24" s="2" t="s">
        <v>548</v>
      </c>
    </row>
    <row r="25" spans="1:4" x14ac:dyDescent="0.3">
      <c r="A25" s="21" t="s">
        <v>552</v>
      </c>
      <c r="B25" s="69">
        <f>Walls!$B$84</f>
        <v>0.1</v>
      </c>
      <c r="C25" s="2" t="s">
        <v>223</v>
      </c>
      <c r="D25" s="2" t="s">
        <v>548</v>
      </c>
    </row>
    <row r="26" spans="1:4" x14ac:dyDescent="0.3">
      <c r="A26" s="21" t="s">
        <v>553</v>
      </c>
      <c r="B26" s="69">
        <f>Walls!$B$87</f>
        <v>0.1</v>
      </c>
      <c r="C26" s="2" t="s">
        <v>223</v>
      </c>
      <c r="D26" s="2" t="s">
        <v>548</v>
      </c>
    </row>
    <row r="27" spans="1:4" x14ac:dyDescent="0.3">
      <c r="A27" s="21" t="s">
        <v>225</v>
      </c>
      <c r="B27" s="69">
        <f>Walls!$B$85</f>
        <v>0.1</v>
      </c>
      <c r="C27" s="2" t="s">
        <v>223</v>
      </c>
      <c r="D27" s="2" t="s">
        <v>548</v>
      </c>
    </row>
    <row r="28" spans="1:4" x14ac:dyDescent="0.3">
      <c r="A28" s="21" t="s">
        <v>240</v>
      </c>
      <c r="B28" s="31">
        <f>Walls!$B$94</f>
        <v>35</v>
      </c>
      <c r="C28" s="2" t="s">
        <v>241</v>
      </c>
      <c r="D28" s="2" t="s">
        <v>548</v>
      </c>
    </row>
    <row r="29" spans="1:4" x14ac:dyDescent="0.3">
      <c r="A29" s="21" t="s">
        <v>160</v>
      </c>
      <c r="B29" s="64">
        <f>Walls!$B$31</f>
        <v>2</v>
      </c>
      <c r="C29" s="2" t="s">
        <v>129</v>
      </c>
      <c r="D29" s="2" t="s">
        <v>548</v>
      </c>
    </row>
    <row r="30" spans="1:4" x14ac:dyDescent="0.3">
      <c r="A30" s="21" t="s">
        <v>554</v>
      </c>
      <c r="B30" s="31">
        <f>Walls!$B$81</f>
        <v>200</v>
      </c>
      <c r="C30" s="2" t="s">
        <v>215</v>
      </c>
      <c r="D30" s="2" t="s">
        <v>548</v>
      </c>
    </row>
    <row r="31" spans="1:4" x14ac:dyDescent="0.3">
      <c r="A31" s="21" t="s">
        <v>555</v>
      </c>
      <c r="B31" s="31">
        <f>Walls!$B$82</f>
        <v>20</v>
      </c>
      <c r="C31" s="2" t="s">
        <v>215</v>
      </c>
      <c r="D31" s="2" t="s">
        <v>548</v>
      </c>
    </row>
    <row r="33" spans="1:10" x14ac:dyDescent="0.3">
      <c r="A33" s="4" t="s">
        <v>556</v>
      </c>
      <c r="B33" s="5"/>
      <c r="C33" s="5"/>
      <c r="D33" s="5"/>
      <c r="E33" s="5"/>
      <c r="F33" s="5"/>
      <c r="G33" s="5"/>
      <c r="H33" s="5"/>
      <c r="I33" s="5"/>
      <c r="J33" s="5"/>
    </row>
    <row r="34" spans="1:10" x14ac:dyDescent="0.3">
      <c r="A34" s="21" t="s">
        <v>557</v>
      </c>
      <c r="B34" s="63">
        <v>8</v>
      </c>
      <c r="C34" s="2" t="s">
        <v>134</v>
      </c>
      <c r="D34" s="2" t="s">
        <v>558</v>
      </c>
    </row>
    <row r="35" spans="1:10" x14ac:dyDescent="0.3">
      <c r="A35" s="21" t="s">
        <v>559</v>
      </c>
      <c r="B35" s="63">
        <v>16</v>
      </c>
      <c r="C35" s="2" t="s">
        <v>151</v>
      </c>
      <c r="D35" s="2"/>
    </row>
    <row r="36" spans="1:10" x14ac:dyDescent="0.3">
      <c r="A36" s="21" t="s">
        <v>560</v>
      </c>
      <c r="B36" s="63">
        <v>1.625</v>
      </c>
      <c r="C36" s="2" t="s">
        <v>134</v>
      </c>
      <c r="D36" s="2" t="s">
        <v>561</v>
      </c>
    </row>
    <row r="37" spans="1:10" x14ac:dyDescent="0.3">
      <c r="A37" s="21" t="s">
        <v>562</v>
      </c>
      <c r="B37" s="63">
        <v>2</v>
      </c>
      <c r="C37" s="2" t="s">
        <v>134</v>
      </c>
      <c r="D37" s="2" t="s">
        <v>563</v>
      </c>
    </row>
    <row r="38" spans="1:10" x14ac:dyDescent="0.3">
      <c r="A38" s="21" t="s">
        <v>564</v>
      </c>
      <c r="B38" s="63">
        <v>6.5</v>
      </c>
      <c r="C38" s="2" t="s">
        <v>134</v>
      </c>
      <c r="D38" s="2" t="s">
        <v>565</v>
      </c>
    </row>
    <row r="39" spans="1:10" x14ac:dyDescent="0.3">
      <c r="A39" s="21" t="s">
        <v>566</v>
      </c>
      <c r="B39" s="63">
        <v>2</v>
      </c>
      <c r="C39" s="2" t="s">
        <v>134</v>
      </c>
      <c r="D39" s="2" t="s">
        <v>567</v>
      </c>
    </row>
    <row r="40" spans="1:10" x14ac:dyDescent="0.3">
      <c r="A40" s="21" t="s">
        <v>568</v>
      </c>
      <c r="B40" s="63">
        <v>35</v>
      </c>
      <c r="C40" s="2" t="s">
        <v>207</v>
      </c>
      <c r="D40" s="2" t="s">
        <v>569</v>
      </c>
    </row>
    <row r="41" spans="1:10" x14ac:dyDescent="0.3">
      <c r="A41" s="21" t="s">
        <v>570</v>
      </c>
      <c r="B41" s="63">
        <v>4</v>
      </c>
      <c r="C41" s="2" t="s">
        <v>571</v>
      </c>
      <c r="D41" s="2" t="s">
        <v>572</v>
      </c>
    </row>
    <row r="42" spans="1:10" x14ac:dyDescent="0.3">
      <c r="A42" s="21" t="s">
        <v>573</v>
      </c>
      <c r="B42" s="63">
        <v>8</v>
      </c>
      <c r="C42" s="2" t="s">
        <v>129</v>
      </c>
      <c r="D42" s="2" t="s">
        <v>574</v>
      </c>
    </row>
    <row r="43" spans="1:10" x14ac:dyDescent="0.3">
      <c r="A43" s="21" t="s">
        <v>575</v>
      </c>
      <c r="B43" s="63">
        <v>12</v>
      </c>
      <c r="C43" s="2" t="s">
        <v>134</v>
      </c>
      <c r="D43" s="2" t="s">
        <v>576</v>
      </c>
    </row>
    <row r="44" spans="1:10" x14ac:dyDescent="0.3">
      <c r="A44" s="21" t="s">
        <v>577</v>
      </c>
      <c r="B44" s="63">
        <v>12</v>
      </c>
      <c r="C44" s="2" t="s">
        <v>134</v>
      </c>
      <c r="D44" s="2" t="s">
        <v>578</v>
      </c>
    </row>
    <row r="45" spans="1:10" x14ac:dyDescent="0.3">
      <c r="A45" s="21" t="s">
        <v>579</v>
      </c>
      <c r="B45" s="63">
        <v>3</v>
      </c>
      <c r="C45" s="2" t="s">
        <v>129</v>
      </c>
      <c r="D45" s="2" t="s">
        <v>580</v>
      </c>
    </row>
    <row r="47" spans="1:10" x14ac:dyDescent="0.3">
      <c r="A47" s="4" t="s">
        <v>581</v>
      </c>
      <c r="B47" s="5"/>
      <c r="C47" s="5"/>
      <c r="D47" s="5"/>
      <c r="E47" s="5"/>
      <c r="F47" s="5"/>
      <c r="G47" s="5"/>
      <c r="H47" s="5"/>
      <c r="I47" s="5"/>
      <c r="J47" s="5"/>
    </row>
    <row r="48" spans="1:10" x14ac:dyDescent="0.3">
      <c r="A48" s="21" t="s">
        <v>582</v>
      </c>
      <c r="B48" s="70">
        <v>0.12</v>
      </c>
      <c r="C48" s="2" t="s">
        <v>583</v>
      </c>
      <c r="D48" s="2" t="s">
        <v>584</v>
      </c>
    </row>
    <row r="49" spans="1:10" x14ac:dyDescent="0.3">
      <c r="A49" s="21" t="s">
        <v>585</v>
      </c>
      <c r="B49" s="70">
        <v>0.03</v>
      </c>
      <c r="C49" s="2" t="s">
        <v>583</v>
      </c>
      <c r="D49" s="2"/>
    </row>
    <row r="50" spans="1:10" x14ac:dyDescent="0.3">
      <c r="A50" s="21" t="s">
        <v>586</v>
      </c>
      <c r="B50" s="71">
        <v>1.5</v>
      </c>
      <c r="C50" s="2" t="s">
        <v>253</v>
      </c>
      <c r="D50" s="2" t="s">
        <v>587</v>
      </c>
    </row>
    <row r="51" spans="1:10" x14ac:dyDescent="0.3">
      <c r="A51" s="21" t="s">
        <v>588</v>
      </c>
      <c r="B51" s="71">
        <v>2</v>
      </c>
      <c r="C51" s="2" t="s">
        <v>253</v>
      </c>
      <c r="D51" s="2" t="s">
        <v>589</v>
      </c>
    </row>
    <row r="52" spans="1:10" x14ac:dyDescent="0.3">
      <c r="A52" s="21" t="s">
        <v>590</v>
      </c>
      <c r="B52" s="7">
        <v>32</v>
      </c>
      <c r="C52" s="2" t="s">
        <v>244</v>
      </c>
      <c r="D52" s="2" t="s">
        <v>591</v>
      </c>
    </row>
    <row r="54" spans="1:10" x14ac:dyDescent="0.3">
      <c r="A54" s="4" t="s">
        <v>592</v>
      </c>
      <c r="B54" s="5"/>
      <c r="C54" s="5"/>
      <c r="D54" s="5"/>
      <c r="E54" s="5"/>
      <c r="F54" s="5"/>
      <c r="G54" s="5"/>
      <c r="H54" s="5"/>
      <c r="I54" s="5"/>
      <c r="J54" s="5"/>
    </row>
    <row r="55" spans="1:10" x14ac:dyDescent="0.3">
      <c r="A55" s="21" t="s">
        <v>593</v>
      </c>
      <c r="B55" s="72">
        <f>$B$16+2*$B$44</f>
        <v>504</v>
      </c>
      <c r="C55" s="2" t="s">
        <v>134</v>
      </c>
      <c r="D55" s="2"/>
    </row>
    <row r="56" spans="1:10" x14ac:dyDescent="0.3">
      <c r="A56" s="21" t="s">
        <v>594</v>
      </c>
      <c r="B56" s="72">
        <f>$B$17+$B$12+$B$43</f>
        <v>395</v>
      </c>
      <c r="C56" s="2" t="s">
        <v>134</v>
      </c>
      <c r="D56" s="2" t="s">
        <v>595</v>
      </c>
    </row>
    <row r="57" spans="1:10" x14ac:dyDescent="0.3">
      <c r="A57" s="21" t="s">
        <v>596</v>
      </c>
      <c r="B57" s="87">
        <f>IF($B$6="shed",SQRT(1+($B$11/12)^2),1)</f>
        <v>1.0034662148993578</v>
      </c>
      <c r="C57" s="2"/>
      <c r="D57" s="2" t="s">
        <v>597</v>
      </c>
    </row>
    <row r="58" spans="1:10" x14ac:dyDescent="0.3">
      <c r="A58" s="21" t="s">
        <v>598</v>
      </c>
      <c r="B58" s="72">
        <f>IF($B$6="shed",$B$17/12*$B$11,0)</f>
        <v>29.916666666666668</v>
      </c>
      <c r="C58" s="2" t="s">
        <v>134</v>
      </c>
      <c r="D58" s="2" t="s">
        <v>599</v>
      </c>
    </row>
    <row r="59" spans="1:10" x14ac:dyDescent="0.3">
      <c r="A59" s="21" t="s">
        <v>600</v>
      </c>
      <c r="B59" s="72">
        <f>IF($B$6="shed",0,($B$56/12*$B$11)/2)</f>
        <v>0</v>
      </c>
      <c r="C59" s="2" t="s">
        <v>134</v>
      </c>
      <c r="D59" s="2" t="s">
        <v>601</v>
      </c>
    </row>
    <row r="60" spans="1:10" x14ac:dyDescent="0.3">
      <c r="A60" s="21" t="s">
        <v>89</v>
      </c>
      <c r="B60" s="73">
        <f>$B$55*$B$56*$B$57/144</f>
        <v>1387.2920420983621</v>
      </c>
      <c r="C60" s="2" t="s">
        <v>285</v>
      </c>
      <c r="D60" s="2"/>
    </row>
    <row r="61" spans="1:10" x14ac:dyDescent="0.3">
      <c r="A61" s="21" t="s">
        <v>602</v>
      </c>
      <c r="B61" s="72">
        <f>$B$55/$B$45</f>
        <v>168</v>
      </c>
      <c r="C61" s="2" t="s">
        <v>134</v>
      </c>
      <c r="D61" s="2"/>
    </row>
    <row r="62" spans="1:10" x14ac:dyDescent="0.3">
      <c r="A62" s="21" t="s">
        <v>603</v>
      </c>
      <c r="B62" s="72">
        <f>$B$56*$B$57</f>
        <v>396.36915488524636</v>
      </c>
      <c r="C62" s="2" t="s">
        <v>134</v>
      </c>
      <c r="D62" s="2"/>
    </row>
    <row r="63" spans="1:10" x14ac:dyDescent="0.3">
      <c r="A63" s="21" t="s">
        <v>604</v>
      </c>
      <c r="B63" s="66">
        <f>INT(($B$61-$B$36)/$B$35)+2</f>
        <v>12</v>
      </c>
      <c r="C63" s="2" t="s">
        <v>129</v>
      </c>
      <c r="D63" s="2" t="s">
        <v>605</v>
      </c>
    </row>
    <row r="64" spans="1:10" x14ac:dyDescent="0.3">
      <c r="A64" s="21" t="s">
        <v>606</v>
      </c>
      <c r="B64" s="66">
        <f>INT(($B$62-2*$B$21)/$B$20)+1+IF(MOD($B$62-2*$B$21,$B$20)&gt;0,1,0)</f>
        <v>9</v>
      </c>
      <c r="C64" s="2" t="s">
        <v>129</v>
      </c>
      <c r="D64" s="2" t="s">
        <v>607</v>
      </c>
    </row>
    <row r="65" spans="1:10" x14ac:dyDescent="0.3">
      <c r="A65" s="21" t="s">
        <v>608</v>
      </c>
      <c r="B65" s="72">
        <f>$B$37+$B$19+$B$34+$B$39</f>
        <v>13.5</v>
      </c>
      <c r="C65" s="2" t="s">
        <v>134</v>
      </c>
      <c r="D65" s="2" t="s">
        <v>609</v>
      </c>
    </row>
    <row r="66" spans="1:10" x14ac:dyDescent="0.3">
      <c r="A66" s="21" t="s">
        <v>610</v>
      </c>
      <c r="B66" s="72">
        <f>$B$65-$B$38</f>
        <v>7</v>
      </c>
      <c r="C66" s="2" t="s">
        <v>134</v>
      </c>
      <c r="D66" s="2" t="s">
        <v>611</v>
      </c>
    </row>
    <row r="67" spans="1:10" x14ac:dyDescent="0.3">
      <c r="A67" s="21" t="s">
        <v>95</v>
      </c>
      <c r="B67" s="73">
        <f>$B$45*$B$63*$B$62/12</f>
        <v>1189.107464655739</v>
      </c>
      <c r="C67" s="2" t="s">
        <v>282</v>
      </c>
      <c r="D67" s="2" t="s">
        <v>612</v>
      </c>
    </row>
    <row r="68" spans="1:10" x14ac:dyDescent="0.3">
      <c r="A68" s="21" t="s">
        <v>613</v>
      </c>
      <c r="B68" s="73">
        <f>$B$45*2*$B$61/12</f>
        <v>84</v>
      </c>
      <c r="C68" s="2" t="s">
        <v>282</v>
      </c>
      <c r="D68" s="2"/>
    </row>
    <row r="69" spans="1:10" x14ac:dyDescent="0.3">
      <c r="A69" s="21" t="s">
        <v>614</v>
      </c>
      <c r="B69" s="73">
        <f>$B$45*$B$64*$B$61/12</f>
        <v>378</v>
      </c>
      <c r="C69" s="2" t="s">
        <v>282</v>
      </c>
      <c r="D69" s="2" t="s">
        <v>615</v>
      </c>
    </row>
    <row r="70" spans="1:10" x14ac:dyDescent="0.3">
      <c r="A70" s="21" t="s">
        <v>616</v>
      </c>
      <c r="B70" s="66">
        <f>$B$45*$B$64*$B$63</f>
        <v>324</v>
      </c>
      <c r="C70" s="2" t="s">
        <v>129</v>
      </c>
      <c r="D70" s="2"/>
    </row>
    <row r="71" spans="1:10" x14ac:dyDescent="0.3">
      <c r="A71" s="21" t="s">
        <v>617</v>
      </c>
      <c r="B71" s="66">
        <f>$B$45*$B$42</f>
        <v>24</v>
      </c>
      <c r="C71" s="2" t="s">
        <v>129</v>
      </c>
      <c r="D71" s="2"/>
    </row>
    <row r="72" spans="1:10" x14ac:dyDescent="0.3">
      <c r="A72" s="21" t="s">
        <v>618</v>
      </c>
      <c r="B72" s="72">
        <f>$B$60*$B$38/12/27</f>
        <v>27.83147615320788</v>
      </c>
      <c r="C72" s="2" t="s">
        <v>379</v>
      </c>
      <c r="D72" s="2" t="s">
        <v>619</v>
      </c>
    </row>
    <row r="73" spans="1:10" x14ac:dyDescent="0.3">
      <c r="A73" s="21" t="s">
        <v>620</v>
      </c>
      <c r="B73" s="72">
        <f>$B$60*($B$66+$B$59)/12/27</f>
        <v>29.97235893422387</v>
      </c>
      <c r="C73" s="2" t="s">
        <v>379</v>
      </c>
      <c r="D73" s="2" t="s">
        <v>621</v>
      </c>
    </row>
    <row r="74" spans="1:10" x14ac:dyDescent="0.3">
      <c r="A74" s="21" t="s">
        <v>622</v>
      </c>
      <c r="B74" s="72">
        <f>$B$72+$B$73</f>
        <v>57.80383508743175</v>
      </c>
      <c r="C74" s="2" t="s">
        <v>379</v>
      </c>
      <c r="D74" s="2"/>
    </row>
    <row r="75" spans="1:10" x14ac:dyDescent="0.3">
      <c r="A75" s="21" t="s">
        <v>623</v>
      </c>
      <c r="B75" s="75">
        <f>($B$38/12*$B$40+$B$41)*$B$61*$B$62/144</f>
        <v>10616.6377110583</v>
      </c>
      <c r="C75" s="2" t="s">
        <v>220</v>
      </c>
      <c r="D75" s="2" t="s">
        <v>624</v>
      </c>
    </row>
    <row r="76" spans="1:10" x14ac:dyDescent="0.3">
      <c r="A76" s="21" t="s">
        <v>625</v>
      </c>
      <c r="B76" s="72">
        <f>IF($B$6="shed",2*(($B$17-2*$B$18)/12)*($B$58/12/2)*($B$18/12)/27,0)</f>
        <v>2.4776663237311389</v>
      </c>
      <c r="C76" s="2" t="s">
        <v>379</v>
      </c>
      <c r="D76" s="2" t="s">
        <v>626</v>
      </c>
    </row>
    <row r="77" spans="1:10" x14ac:dyDescent="0.3">
      <c r="A77" s="21" t="s">
        <v>627</v>
      </c>
      <c r="B77" s="73">
        <f>$B$22*$B$23*$B$24/144</f>
        <v>66.666666666666671</v>
      </c>
      <c r="C77" s="2" t="s">
        <v>285</v>
      </c>
      <c r="D77" s="2" t="s">
        <v>628</v>
      </c>
    </row>
    <row r="79" spans="1:10" x14ac:dyDescent="0.3">
      <c r="A79" s="4" t="s">
        <v>629</v>
      </c>
      <c r="B79" s="5"/>
      <c r="C79" s="5"/>
      <c r="D79" s="5"/>
      <c r="E79" s="5"/>
      <c r="F79" s="5"/>
      <c r="G79" s="5"/>
      <c r="H79" s="5"/>
      <c r="I79" s="5"/>
      <c r="J79" s="5"/>
    </row>
    <row r="80" spans="1:10" x14ac:dyDescent="0.3">
      <c r="A80" s="11" t="s">
        <v>401</v>
      </c>
      <c r="B80" s="11" t="s">
        <v>402</v>
      </c>
      <c r="C80" s="11" t="s">
        <v>403</v>
      </c>
      <c r="D80" s="11" t="s">
        <v>404</v>
      </c>
      <c r="E80" s="11" t="s">
        <v>405</v>
      </c>
      <c r="F80" s="11" t="s">
        <v>406</v>
      </c>
      <c r="G80" s="11" t="s">
        <v>407</v>
      </c>
      <c r="H80" s="11" t="s">
        <v>408</v>
      </c>
      <c r="I80" s="11" t="s">
        <v>409</v>
      </c>
      <c r="J80" s="11" t="s">
        <v>410</v>
      </c>
    </row>
    <row r="81" spans="1:10" x14ac:dyDescent="0.3">
      <c r="A81" s="76" t="s">
        <v>630</v>
      </c>
      <c r="B81" s="77">
        <f>$B$67</f>
        <v>1189.107464655739</v>
      </c>
      <c r="C81" s="78" t="s">
        <v>282</v>
      </c>
      <c r="D81" s="76" t="s">
        <v>413</v>
      </c>
      <c r="E81" s="78" t="s">
        <v>631</v>
      </c>
      <c r="F81" s="68">
        <v>2.42</v>
      </c>
      <c r="G81" s="13">
        <f t="shared" ref="G81:G100" si="0">IF(D81="Material",B81*F81,0)</f>
        <v>2877.6400644668884</v>
      </c>
      <c r="H81" s="13">
        <f t="shared" ref="H81:H100" si="1">IF(D81="Labor",B81*F81,0)</f>
        <v>0</v>
      </c>
      <c r="I81" s="13">
        <f t="shared" ref="I81:I100" si="2">G81+H81</f>
        <v>2877.6400644668884</v>
      </c>
      <c r="J81" s="78" t="s">
        <v>632</v>
      </c>
    </row>
    <row r="82" spans="1:10" x14ac:dyDescent="0.3">
      <c r="A82" s="76" t="s">
        <v>633</v>
      </c>
      <c r="B82" s="77">
        <f>$B$68*(1+$B$26)</f>
        <v>92.4</v>
      </c>
      <c r="C82" s="78" t="s">
        <v>282</v>
      </c>
      <c r="D82" s="76" t="s">
        <v>413</v>
      </c>
      <c r="E82" s="78" t="s">
        <v>634</v>
      </c>
      <c r="F82" s="68">
        <v>2.42</v>
      </c>
      <c r="G82" s="13">
        <f t="shared" si="0"/>
        <v>223.608</v>
      </c>
      <c r="H82" s="13">
        <f t="shared" si="1"/>
        <v>0</v>
      </c>
      <c r="I82" s="13">
        <f t="shared" si="2"/>
        <v>223.608</v>
      </c>
      <c r="J82" s="78" t="s">
        <v>635</v>
      </c>
    </row>
    <row r="83" spans="1:10" x14ac:dyDescent="0.3">
      <c r="A83" s="76" t="s">
        <v>636</v>
      </c>
      <c r="B83" s="77">
        <f>$B$69*(1+$B$26)</f>
        <v>415.8</v>
      </c>
      <c r="C83" s="78" t="s">
        <v>282</v>
      </c>
      <c r="D83" s="76" t="s">
        <v>413</v>
      </c>
      <c r="E83" s="78" t="s">
        <v>637</v>
      </c>
      <c r="F83" s="68">
        <v>0.73</v>
      </c>
      <c r="G83" s="13">
        <f t="shared" si="0"/>
        <v>303.53399999999999</v>
      </c>
      <c r="H83" s="13">
        <f t="shared" si="1"/>
        <v>0</v>
      </c>
      <c r="I83" s="13">
        <f t="shared" si="2"/>
        <v>303.53399999999999</v>
      </c>
      <c r="J83" s="78" t="s">
        <v>638</v>
      </c>
    </row>
    <row r="84" spans="1:10" x14ac:dyDescent="0.3">
      <c r="A84" s="76" t="s">
        <v>639</v>
      </c>
      <c r="B84" s="79">
        <f>$B$70*$B$29</f>
        <v>648</v>
      </c>
      <c r="C84" s="78" t="s">
        <v>129</v>
      </c>
      <c r="D84" s="76" t="s">
        <v>413</v>
      </c>
      <c r="E84" s="78" t="s">
        <v>435</v>
      </c>
      <c r="F84" s="68">
        <v>0.08</v>
      </c>
      <c r="G84" s="13">
        <f t="shared" si="0"/>
        <v>51.84</v>
      </c>
      <c r="H84" s="13">
        <f t="shared" si="1"/>
        <v>0</v>
      </c>
      <c r="I84" s="13">
        <f t="shared" si="2"/>
        <v>51.84</v>
      </c>
      <c r="J84" s="78" t="s">
        <v>433</v>
      </c>
    </row>
    <row r="85" spans="1:10" x14ac:dyDescent="0.3">
      <c r="A85" s="76" t="s">
        <v>640</v>
      </c>
      <c r="B85" s="79">
        <f>$B$70</f>
        <v>324</v>
      </c>
      <c r="C85" s="78" t="s">
        <v>129</v>
      </c>
      <c r="D85" s="76" t="s">
        <v>413</v>
      </c>
      <c r="E85" s="78" t="s">
        <v>641</v>
      </c>
      <c r="F85" s="68">
        <v>0.6</v>
      </c>
      <c r="G85" s="13">
        <f t="shared" si="0"/>
        <v>194.4</v>
      </c>
      <c r="H85" s="13">
        <f t="shared" si="1"/>
        <v>0</v>
      </c>
      <c r="I85" s="13">
        <f t="shared" si="2"/>
        <v>194.4</v>
      </c>
      <c r="J85" s="78" t="s">
        <v>642</v>
      </c>
    </row>
    <row r="86" spans="1:10" x14ac:dyDescent="0.3">
      <c r="A86" s="76" t="s">
        <v>643</v>
      </c>
      <c r="B86" s="79">
        <f>$B$71</f>
        <v>24</v>
      </c>
      <c r="C86" s="78" t="s">
        <v>129</v>
      </c>
      <c r="D86" s="76" t="s">
        <v>413</v>
      </c>
      <c r="E86" s="78" t="s">
        <v>644</v>
      </c>
      <c r="F86" s="68">
        <v>28</v>
      </c>
      <c r="G86" s="13">
        <f t="shared" si="0"/>
        <v>672</v>
      </c>
      <c r="H86" s="13">
        <f t="shared" si="1"/>
        <v>0</v>
      </c>
      <c r="I86" s="13">
        <f t="shared" si="2"/>
        <v>672</v>
      </c>
      <c r="J86" s="78" t="s">
        <v>502</v>
      </c>
    </row>
    <row r="87" spans="1:10" x14ac:dyDescent="0.3">
      <c r="A87" s="76" t="s">
        <v>645</v>
      </c>
      <c r="B87" s="77">
        <f>$B$60*(1+$B$27)</f>
        <v>1526.0212463081984</v>
      </c>
      <c r="C87" s="78" t="s">
        <v>285</v>
      </c>
      <c r="D87" s="76" t="s">
        <v>413</v>
      </c>
      <c r="E87" s="78" t="s">
        <v>646</v>
      </c>
      <c r="F87" s="68">
        <v>0.95</v>
      </c>
      <c r="G87" s="13">
        <f t="shared" si="0"/>
        <v>1449.7201839927884</v>
      </c>
      <c r="H87" s="13">
        <f t="shared" si="1"/>
        <v>0</v>
      </c>
      <c r="I87" s="13">
        <f t="shared" si="2"/>
        <v>1449.7201839927884</v>
      </c>
      <c r="J87" s="78" t="s">
        <v>647</v>
      </c>
    </row>
    <row r="88" spans="1:10" x14ac:dyDescent="0.3">
      <c r="A88" s="76" t="s">
        <v>648</v>
      </c>
      <c r="B88" s="77">
        <f>$B$72*(1+$B$25)</f>
        <v>30.61462376852867</v>
      </c>
      <c r="C88" s="78" t="s">
        <v>379</v>
      </c>
      <c r="D88" s="76" t="s">
        <v>413</v>
      </c>
      <c r="E88" s="78" t="s">
        <v>649</v>
      </c>
      <c r="F88" s="81">
        <f>$B$30+$B$31</f>
        <v>220</v>
      </c>
      <c r="G88" s="13">
        <f t="shared" si="0"/>
        <v>6735.2172290763074</v>
      </c>
      <c r="H88" s="13">
        <f t="shared" si="1"/>
        <v>0</v>
      </c>
      <c r="I88" s="13">
        <f t="shared" si="2"/>
        <v>6735.2172290763074</v>
      </c>
      <c r="J88" s="78" t="s">
        <v>650</v>
      </c>
    </row>
    <row r="89" spans="1:10" x14ac:dyDescent="0.3">
      <c r="A89" s="76" t="s">
        <v>651</v>
      </c>
      <c r="B89" s="77">
        <f>$B$73*(1+$B$25)</f>
        <v>32.969594827646262</v>
      </c>
      <c r="C89" s="78" t="s">
        <v>379</v>
      </c>
      <c r="D89" s="76" t="s">
        <v>413</v>
      </c>
      <c r="E89" s="78" t="s">
        <v>652</v>
      </c>
      <c r="F89" s="81">
        <f>$B$30+$B$31</f>
        <v>220</v>
      </c>
      <c r="G89" s="13">
        <f t="shared" si="0"/>
        <v>7253.3108620821777</v>
      </c>
      <c r="H89" s="13">
        <f t="shared" si="1"/>
        <v>0</v>
      </c>
      <c r="I89" s="13">
        <f t="shared" si="2"/>
        <v>7253.3108620821777</v>
      </c>
      <c r="J89" s="78" t="s">
        <v>462</v>
      </c>
    </row>
    <row r="90" spans="1:10" x14ac:dyDescent="0.3">
      <c r="A90" s="76" t="s">
        <v>653</v>
      </c>
      <c r="B90" s="77">
        <f>$B$76*(1+$B$25)</f>
        <v>2.7254329561042532</v>
      </c>
      <c r="C90" s="78" t="s">
        <v>379</v>
      </c>
      <c r="D90" s="76" t="s">
        <v>413</v>
      </c>
      <c r="E90" s="78" t="s">
        <v>654</v>
      </c>
      <c r="F90" s="81">
        <f>$B$30+$B$31</f>
        <v>220</v>
      </c>
      <c r="G90" s="13">
        <f t="shared" si="0"/>
        <v>599.59525034293574</v>
      </c>
      <c r="H90" s="13">
        <f t="shared" si="1"/>
        <v>0</v>
      </c>
      <c r="I90" s="13">
        <f t="shared" si="2"/>
        <v>599.59525034293574</v>
      </c>
      <c r="J90" s="78" t="s">
        <v>655</v>
      </c>
    </row>
    <row r="91" spans="1:10" x14ac:dyDescent="0.3">
      <c r="A91" s="76" t="s">
        <v>656</v>
      </c>
      <c r="B91" s="77">
        <f>$B$60*1.1</f>
        <v>1526.0212463081984</v>
      </c>
      <c r="C91" s="78" t="s">
        <v>285</v>
      </c>
      <c r="D91" s="76" t="s">
        <v>413</v>
      </c>
      <c r="E91" s="78" t="s">
        <v>657</v>
      </c>
      <c r="F91" s="68">
        <v>0.12</v>
      </c>
      <c r="G91" s="13">
        <f t="shared" si="0"/>
        <v>183.12254955698381</v>
      </c>
      <c r="H91" s="13">
        <f t="shared" si="1"/>
        <v>0</v>
      </c>
      <c r="I91" s="13">
        <f t="shared" si="2"/>
        <v>183.12254955698381</v>
      </c>
      <c r="J91" s="78" t="s">
        <v>658</v>
      </c>
    </row>
    <row r="92" spans="1:10" x14ac:dyDescent="0.3">
      <c r="A92" s="76" t="s">
        <v>659</v>
      </c>
      <c r="B92" s="77">
        <f>$B$45*2*($B$61+$B$62)/12</f>
        <v>282.18457744262321</v>
      </c>
      <c r="C92" s="78" t="s">
        <v>282</v>
      </c>
      <c r="D92" s="76" t="s">
        <v>413</v>
      </c>
      <c r="E92" s="78" t="s">
        <v>660</v>
      </c>
      <c r="F92" s="68">
        <v>1.8</v>
      </c>
      <c r="G92" s="13">
        <f t="shared" si="0"/>
        <v>507.9322393967218</v>
      </c>
      <c r="H92" s="13">
        <f t="shared" si="1"/>
        <v>0</v>
      </c>
      <c r="I92" s="13">
        <f t="shared" si="2"/>
        <v>507.9322393967218</v>
      </c>
      <c r="J92" s="78" t="s">
        <v>661</v>
      </c>
    </row>
    <row r="93" spans="1:10" x14ac:dyDescent="0.3">
      <c r="A93" s="76" t="s">
        <v>662</v>
      </c>
      <c r="B93" s="77">
        <f>$B$77</f>
        <v>66.666666666666671</v>
      </c>
      <c r="C93" s="78" t="s">
        <v>285</v>
      </c>
      <c r="D93" s="76" t="s">
        <v>413</v>
      </c>
      <c r="E93" s="78" t="s">
        <v>663</v>
      </c>
      <c r="F93" s="68">
        <v>60</v>
      </c>
      <c r="G93" s="13">
        <f t="shared" si="0"/>
        <v>4000.0000000000005</v>
      </c>
      <c r="H93" s="13">
        <f t="shared" si="1"/>
        <v>0</v>
      </c>
      <c r="I93" s="13">
        <f t="shared" si="2"/>
        <v>4000.0000000000005</v>
      </c>
      <c r="J93" s="78" t="s">
        <v>664</v>
      </c>
    </row>
    <row r="94" spans="1:10" x14ac:dyDescent="0.3">
      <c r="A94" s="76" t="s">
        <v>665</v>
      </c>
      <c r="B94" s="79">
        <v>1</v>
      </c>
      <c r="C94" s="78" t="s">
        <v>666</v>
      </c>
      <c r="D94" s="76" t="s">
        <v>413</v>
      </c>
      <c r="E94" s="78" t="s">
        <v>667</v>
      </c>
      <c r="F94" s="68">
        <v>1500</v>
      </c>
      <c r="G94" s="13">
        <f t="shared" si="0"/>
        <v>1500</v>
      </c>
      <c r="H94" s="13">
        <f t="shared" si="1"/>
        <v>0</v>
      </c>
      <c r="I94" s="13">
        <f t="shared" si="2"/>
        <v>1500</v>
      </c>
      <c r="J94" s="78" t="s">
        <v>668</v>
      </c>
    </row>
    <row r="95" spans="1:10" x14ac:dyDescent="0.3">
      <c r="A95" s="76" t="s">
        <v>669</v>
      </c>
      <c r="B95" s="77">
        <f>$B$60</f>
        <v>1387.2920420983621</v>
      </c>
      <c r="C95" s="78" t="s">
        <v>285</v>
      </c>
      <c r="D95" s="76" t="s">
        <v>413</v>
      </c>
      <c r="E95" s="78" t="s">
        <v>670</v>
      </c>
      <c r="F95" s="68">
        <v>8</v>
      </c>
      <c r="G95" s="13">
        <f t="shared" si="0"/>
        <v>11098.336336786897</v>
      </c>
      <c r="H95" s="13">
        <f t="shared" si="1"/>
        <v>0</v>
      </c>
      <c r="I95" s="13">
        <f t="shared" si="2"/>
        <v>11098.336336786897</v>
      </c>
      <c r="J95" s="78" t="s">
        <v>671</v>
      </c>
    </row>
    <row r="96" spans="1:10" x14ac:dyDescent="0.3">
      <c r="A96" s="76" t="s">
        <v>672</v>
      </c>
      <c r="B96" s="77">
        <f>$B$60*$B$48</f>
        <v>166.47504505180345</v>
      </c>
      <c r="C96" s="78" t="s">
        <v>244</v>
      </c>
      <c r="D96" s="76" t="s">
        <v>23</v>
      </c>
      <c r="E96" s="78" t="s">
        <v>673</v>
      </c>
      <c r="F96" s="81">
        <f>$B$28</f>
        <v>35</v>
      </c>
      <c r="G96" s="13">
        <f t="shared" si="0"/>
        <v>0</v>
      </c>
      <c r="H96" s="13">
        <f t="shared" si="1"/>
        <v>5826.6265768131207</v>
      </c>
      <c r="I96" s="13">
        <f t="shared" si="2"/>
        <v>5826.6265768131207</v>
      </c>
      <c r="J96" s="78" t="s">
        <v>508</v>
      </c>
    </row>
    <row r="97" spans="1:10" x14ac:dyDescent="0.3">
      <c r="A97" s="76" t="s">
        <v>674</v>
      </c>
      <c r="B97" s="77">
        <f>$B$60*$B$49</f>
        <v>41.618761262950862</v>
      </c>
      <c r="C97" s="78" t="s">
        <v>244</v>
      </c>
      <c r="D97" s="76" t="s">
        <v>23</v>
      </c>
      <c r="E97" s="78" t="s">
        <v>673</v>
      </c>
      <c r="F97" s="81">
        <f>$B$28</f>
        <v>35</v>
      </c>
      <c r="G97" s="13">
        <f t="shared" si="0"/>
        <v>0</v>
      </c>
      <c r="H97" s="13">
        <f t="shared" si="1"/>
        <v>1456.6566442032802</v>
      </c>
      <c r="I97" s="13">
        <f t="shared" si="2"/>
        <v>1456.6566442032802</v>
      </c>
      <c r="J97" s="78" t="s">
        <v>508</v>
      </c>
    </row>
    <row r="98" spans="1:10" x14ac:dyDescent="0.3">
      <c r="A98" s="76" t="s">
        <v>675</v>
      </c>
      <c r="B98" s="77">
        <f>$B$72*(1+$B$25)*$B$50</f>
        <v>45.921935652793003</v>
      </c>
      <c r="C98" s="78" t="s">
        <v>244</v>
      </c>
      <c r="D98" s="76" t="s">
        <v>23</v>
      </c>
      <c r="E98" s="78" t="s">
        <v>512</v>
      </c>
      <c r="F98" s="81">
        <f>$B$28</f>
        <v>35</v>
      </c>
      <c r="G98" s="13">
        <f t="shared" si="0"/>
        <v>0</v>
      </c>
      <c r="H98" s="13">
        <f t="shared" si="1"/>
        <v>1607.2677478477551</v>
      </c>
      <c r="I98" s="13">
        <f t="shared" si="2"/>
        <v>1607.2677478477551</v>
      </c>
      <c r="J98" s="78" t="s">
        <v>508</v>
      </c>
    </row>
    <row r="99" spans="1:10" x14ac:dyDescent="0.3">
      <c r="A99" s="76" t="s">
        <v>676</v>
      </c>
      <c r="B99" s="77">
        <f>$B$73*(1+$B$25)*$B$51</f>
        <v>65.939189655292523</v>
      </c>
      <c r="C99" s="78" t="s">
        <v>244</v>
      </c>
      <c r="D99" s="76" t="s">
        <v>23</v>
      </c>
      <c r="E99" s="78" t="s">
        <v>512</v>
      </c>
      <c r="F99" s="81">
        <f>$B$28</f>
        <v>35</v>
      </c>
      <c r="G99" s="13">
        <f t="shared" si="0"/>
        <v>0</v>
      </c>
      <c r="H99" s="13">
        <f t="shared" si="1"/>
        <v>2307.8716379352381</v>
      </c>
      <c r="I99" s="13">
        <f t="shared" si="2"/>
        <v>2307.8716379352381</v>
      </c>
      <c r="J99" s="78" t="s">
        <v>519</v>
      </c>
    </row>
    <row r="100" spans="1:10" x14ac:dyDescent="0.3">
      <c r="A100" s="76" t="s">
        <v>677</v>
      </c>
      <c r="B100" s="77">
        <f>$B$52</f>
        <v>32</v>
      </c>
      <c r="C100" s="78" t="s">
        <v>244</v>
      </c>
      <c r="D100" s="76" t="s">
        <v>23</v>
      </c>
      <c r="E100" s="78" t="s">
        <v>678</v>
      </c>
      <c r="F100" s="81">
        <f>$B$28</f>
        <v>35</v>
      </c>
      <c r="G100" s="13">
        <f t="shared" si="0"/>
        <v>0</v>
      </c>
      <c r="H100" s="13">
        <f t="shared" si="1"/>
        <v>1120</v>
      </c>
      <c r="I100" s="13">
        <f t="shared" si="2"/>
        <v>1120</v>
      </c>
      <c r="J100" s="78" t="s">
        <v>508</v>
      </c>
    </row>
    <row r="101" spans="1:10" x14ac:dyDescent="0.3">
      <c r="A101" s="16" t="s">
        <v>679</v>
      </c>
      <c r="B101" s="20"/>
      <c r="C101" s="20"/>
      <c r="D101" s="20"/>
      <c r="E101" s="20"/>
      <c r="F101" s="20"/>
      <c r="G101" s="80">
        <f>SUM(G81:G100)</f>
        <v>37650.256715701704</v>
      </c>
      <c r="H101" s="80">
        <f>SUM(H81:H100)</f>
        <v>12318.422606799395</v>
      </c>
      <c r="I101" s="80">
        <f>SUM(I81:I100)</f>
        <v>49968.679322501099</v>
      </c>
      <c r="J101" s="20"/>
    </row>
    <row r="103" spans="1:10" x14ac:dyDescent="0.3">
      <c r="A103" s="82" t="s">
        <v>680</v>
      </c>
      <c r="B103" s="83"/>
      <c r="C103" s="83"/>
      <c r="D103" s="83"/>
      <c r="E103" s="83"/>
      <c r="F103" s="83"/>
      <c r="G103" s="84">
        <f>$G$101</f>
        <v>37650.256715701704</v>
      </c>
      <c r="H103" s="84">
        <f>$H$101</f>
        <v>12318.422606799395</v>
      </c>
      <c r="I103" s="84">
        <f>G103+H103</f>
        <v>49968.679322501099</v>
      </c>
      <c r="J103" s="83"/>
    </row>
    <row r="104" spans="1:10" x14ac:dyDescent="0.3">
      <c r="A104" s="21" t="s">
        <v>681</v>
      </c>
      <c r="I104" s="89">
        <f>$I$103*(1+Summary!$B$8)</f>
        <v>54965.547254751211</v>
      </c>
    </row>
    <row r="105" spans="1:10" x14ac:dyDescent="0.3">
      <c r="A105" s="21" t="s">
        <v>682</v>
      </c>
      <c r="I105" s="22">
        <f>$I$104/$B$60</f>
        <v>39.62074717275285</v>
      </c>
    </row>
    <row r="106" spans="1:10" x14ac:dyDescent="0.3">
      <c r="A106" s="2" t="s">
        <v>683</v>
      </c>
    </row>
  </sheetData>
  <mergeCells count="1">
    <mergeCell ref="A2:J2"/>
  </mergeCell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22"/>
  <sheetViews>
    <sheetView showGridLines="0" workbookViewId="0">
      <pane ySplit="4" topLeftCell="A5" activePane="bottomLeft" state="frozen"/>
      <selection pane="bottomLeft"/>
    </sheetView>
  </sheetViews>
  <sheetFormatPr defaultRowHeight="14.4" x14ac:dyDescent="0.3"/>
  <cols>
    <col min="1" max="1" width="40" customWidth="1"/>
    <col min="2" max="2" width="14" customWidth="1"/>
    <col min="3" max="3" width="12" customWidth="1"/>
    <col min="4" max="4" width="9" customWidth="1"/>
    <col min="5" max="5" width="34" customWidth="1"/>
    <col min="6" max="6" width="12" customWidth="1"/>
    <col min="7" max="9" width="13" customWidth="1"/>
    <col min="10" max="10" width="58" customWidth="1"/>
  </cols>
  <sheetData>
    <row r="1" spans="1:10" ht="17.399999999999999" x14ac:dyDescent="0.3">
      <c r="A1" s="53" t="s">
        <v>684</v>
      </c>
    </row>
    <row r="2" spans="1:10" ht="43.95" customHeight="1" x14ac:dyDescent="0.3">
      <c r="A2" s="105" t="s">
        <v>685</v>
      </c>
      <c r="B2" s="106"/>
      <c r="C2" s="106"/>
      <c r="D2" s="106"/>
      <c r="E2" s="106"/>
      <c r="F2" s="106"/>
      <c r="G2" s="106"/>
      <c r="H2" s="106"/>
      <c r="I2" s="106"/>
      <c r="J2" s="106"/>
    </row>
    <row r="3" spans="1:10" x14ac:dyDescent="0.3">
      <c r="A3" s="3" t="s">
        <v>111</v>
      </c>
    </row>
    <row r="5" spans="1:10" x14ac:dyDescent="0.3">
      <c r="A5" s="4" t="s">
        <v>686</v>
      </c>
      <c r="B5" s="5"/>
      <c r="C5" s="5"/>
      <c r="D5" s="5"/>
      <c r="E5" s="5"/>
      <c r="F5" s="5"/>
      <c r="G5" s="5"/>
      <c r="H5" s="5"/>
      <c r="I5" s="5"/>
      <c r="J5" s="5"/>
    </row>
    <row r="6" spans="1:10" x14ac:dyDescent="0.3">
      <c r="A6" s="21" t="s">
        <v>687</v>
      </c>
      <c r="B6" s="64" t="str">
        <f>Summary!$B$7</f>
        <v>A</v>
      </c>
      <c r="C6" s="2"/>
      <c r="D6" s="2" t="s">
        <v>688</v>
      </c>
    </row>
    <row r="7" spans="1:10" x14ac:dyDescent="0.3">
      <c r="A7" s="21" t="s">
        <v>278</v>
      </c>
      <c r="B7" s="64">
        <f>Walls!$B$116</f>
        <v>480</v>
      </c>
      <c r="C7" s="2" t="s">
        <v>134</v>
      </c>
      <c r="D7" s="2" t="s">
        <v>689</v>
      </c>
    </row>
    <row r="8" spans="1:10" x14ac:dyDescent="0.3">
      <c r="A8" s="21" t="s">
        <v>279</v>
      </c>
      <c r="B8" s="64">
        <f>Walls!$B$117</f>
        <v>359</v>
      </c>
      <c r="C8" s="2" t="s">
        <v>134</v>
      </c>
      <c r="D8" s="2" t="s">
        <v>689</v>
      </c>
    </row>
    <row r="9" spans="1:10" x14ac:dyDescent="0.3">
      <c r="A9" s="21" t="s">
        <v>690</v>
      </c>
      <c r="B9" s="73">
        <f>$B$7*$B$8/144</f>
        <v>1196.6666666666667</v>
      </c>
      <c r="C9" s="2" t="s">
        <v>285</v>
      </c>
      <c r="D9" s="2"/>
    </row>
    <row r="10" spans="1:10" x14ac:dyDescent="0.3">
      <c r="A10" s="21" t="s">
        <v>691</v>
      </c>
      <c r="B10" s="73">
        <f>2*($B$7+$B$8)/12</f>
        <v>139.83333333333334</v>
      </c>
      <c r="C10" s="2" t="s">
        <v>282</v>
      </c>
      <c r="D10" s="2"/>
    </row>
    <row r="11" spans="1:10" x14ac:dyDescent="0.3">
      <c r="A11" s="21" t="s">
        <v>240</v>
      </c>
      <c r="B11" s="31">
        <f>Walls!$B$94</f>
        <v>35</v>
      </c>
      <c r="C11" s="2" t="s">
        <v>241</v>
      </c>
      <c r="D11" s="2" t="s">
        <v>692</v>
      </c>
    </row>
    <row r="12" spans="1:10" x14ac:dyDescent="0.3">
      <c r="A12" s="21" t="s">
        <v>552</v>
      </c>
      <c r="B12" s="69">
        <f>Walls!$B$84</f>
        <v>0.1</v>
      </c>
      <c r="C12" s="2" t="s">
        <v>223</v>
      </c>
      <c r="D12" s="2" t="s">
        <v>693</v>
      </c>
    </row>
    <row r="13" spans="1:10" x14ac:dyDescent="0.3">
      <c r="A13" s="21" t="s">
        <v>694</v>
      </c>
      <c r="B13" s="68">
        <v>160</v>
      </c>
      <c r="C13" s="2" t="s">
        <v>215</v>
      </c>
      <c r="D13" s="2" t="s">
        <v>695</v>
      </c>
    </row>
    <row r="14" spans="1:10" x14ac:dyDescent="0.3">
      <c r="A14" s="21" t="s">
        <v>696</v>
      </c>
      <c r="B14" s="68">
        <v>35</v>
      </c>
      <c r="C14" s="2" t="s">
        <v>215</v>
      </c>
      <c r="D14" s="2" t="s">
        <v>697</v>
      </c>
    </row>
    <row r="15" spans="1:10" x14ac:dyDescent="0.3">
      <c r="A15" s="21" t="s">
        <v>698</v>
      </c>
      <c r="B15" s="68">
        <v>0.9</v>
      </c>
      <c r="C15" s="2" t="s">
        <v>699</v>
      </c>
      <c r="D15" s="2" t="s">
        <v>697</v>
      </c>
    </row>
    <row r="16" spans="1:10" x14ac:dyDescent="0.3">
      <c r="A16" s="21" t="s">
        <v>700</v>
      </c>
      <c r="B16" s="68">
        <v>0.35</v>
      </c>
      <c r="C16" s="2" t="s">
        <v>701</v>
      </c>
      <c r="D16" s="2" t="s">
        <v>697</v>
      </c>
    </row>
    <row r="17" spans="1:10" x14ac:dyDescent="0.3">
      <c r="A17" s="21" t="s">
        <v>702</v>
      </c>
      <c r="B17" s="68">
        <v>0.12</v>
      </c>
      <c r="C17" s="2" t="s">
        <v>701</v>
      </c>
      <c r="D17" s="2" t="s">
        <v>697</v>
      </c>
    </row>
    <row r="18" spans="1:10" x14ac:dyDescent="0.3">
      <c r="A18" s="21" t="s">
        <v>703</v>
      </c>
      <c r="B18" s="68">
        <v>2</v>
      </c>
      <c r="C18" s="2" t="s">
        <v>699</v>
      </c>
      <c r="D18" s="2" t="s">
        <v>704</v>
      </c>
    </row>
    <row r="20" spans="1:10" x14ac:dyDescent="0.3">
      <c r="A20" s="4" t="s">
        <v>705</v>
      </c>
      <c r="B20" s="5"/>
      <c r="C20" s="5"/>
      <c r="D20" s="5"/>
      <c r="E20" s="5"/>
      <c r="F20" s="5"/>
      <c r="G20" s="5"/>
      <c r="H20" s="5"/>
      <c r="I20" s="5"/>
      <c r="J20" s="5"/>
    </row>
    <row r="21" spans="1:10" x14ac:dyDescent="0.3">
      <c r="A21" s="21" t="s">
        <v>706</v>
      </c>
      <c r="B21" s="63">
        <v>4</v>
      </c>
      <c r="C21" s="2" t="s">
        <v>134</v>
      </c>
      <c r="D21" s="2" t="s">
        <v>707</v>
      </c>
    </row>
    <row r="22" spans="1:10" x14ac:dyDescent="0.3">
      <c r="A22" s="21" t="s">
        <v>708</v>
      </c>
      <c r="B22" s="7">
        <v>12</v>
      </c>
      <c r="C22" s="2" t="s">
        <v>134</v>
      </c>
      <c r="D22" s="2" t="s">
        <v>709</v>
      </c>
    </row>
    <row r="23" spans="1:10" x14ac:dyDescent="0.3">
      <c r="A23" s="21" t="s">
        <v>710</v>
      </c>
      <c r="B23" s="7">
        <v>12</v>
      </c>
      <c r="C23" s="2" t="s">
        <v>134</v>
      </c>
      <c r="D23" s="2" t="s">
        <v>711</v>
      </c>
    </row>
    <row r="24" spans="1:10" x14ac:dyDescent="0.3">
      <c r="A24" s="21" t="s">
        <v>712</v>
      </c>
      <c r="B24" s="7">
        <v>4</v>
      </c>
      <c r="C24" s="2" t="s">
        <v>134</v>
      </c>
      <c r="D24" s="2" t="s">
        <v>711</v>
      </c>
    </row>
    <row r="25" spans="1:10" x14ac:dyDescent="0.3">
      <c r="A25" s="21" t="s">
        <v>713</v>
      </c>
      <c r="B25" s="7">
        <v>2</v>
      </c>
      <c r="C25" s="2" t="s">
        <v>129</v>
      </c>
      <c r="D25" s="2" t="s">
        <v>714</v>
      </c>
    </row>
    <row r="26" spans="1:10" x14ac:dyDescent="0.3">
      <c r="A26" s="21" t="s">
        <v>715</v>
      </c>
      <c r="B26" s="7">
        <v>0.03</v>
      </c>
      <c r="C26" s="2" t="s">
        <v>583</v>
      </c>
      <c r="D26" s="2" t="s">
        <v>711</v>
      </c>
    </row>
    <row r="27" spans="1:10" x14ac:dyDescent="0.3">
      <c r="A27" s="21" t="s">
        <v>716</v>
      </c>
      <c r="B27" s="7">
        <v>0.05</v>
      </c>
      <c r="C27" s="2" t="s">
        <v>583</v>
      </c>
      <c r="D27" s="2" t="s">
        <v>717</v>
      </c>
    </row>
    <row r="28" spans="1:10" x14ac:dyDescent="0.3">
      <c r="A28" s="21" t="s">
        <v>718</v>
      </c>
      <c r="B28" s="7">
        <v>0.25</v>
      </c>
      <c r="C28" s="2" t="s">
        <v>719</v>
      </c>
      <c r="D28" s="2" t="s">
        <v>711</v>
      </c>
    </row>
    <row r="29" spans="1:10" x14ac:dyDescent="0.3">
      <c r="A29" s="21" t="s">
        <v>720</v>
      </c>
      <c r="B29" s="72">
        <f>$B$9*$B$21/12/27</f>
        <v>14.77366255144033</v>
      </c>
      <c r="C29" s="2" t="s">
        <v>379</v>
      </c>
      <c r="D29" s="2"/>
    </row>
    <row r="30" spans="1:10" x14ac:dyDescent="0.3">
      <c r="A30" s="21" t="s">
        <v>721</v>
      </c>
      <c r="B30" s="72">
        <f>$B$10*$B$22/12*$B$23/12/27</f>
        <v>5.1790123456790127</v>
      </c>
      <c r="C30" s="2" t="s">
        <v>379</v>
      </c>
      <c r="D30" s="2"/>
    </row>
    <row r="31" spans="1:10" x14ac:dyDescent="0.3">
      <c r="A31" s="21" t="s">
        <v>722</v>
      </c>
      <c r="B31" s="72">
        <f>($B$29+$B$30)*(1+$B$12)</f>
        <v>21.947942386831279</v>
      </c>
      <c r="C31" s="2" t="s">
        <v>379</v>
      </c>
      <c r="D31" s="2" t="s">
        <v>723</v>
      </c>
    </row>
    <row r="33" spans="1:10" x14ac:dyDescent="0.3">
      <c r="A33" s="11" t="s">
        <v>401</v>
      </c>
      <c r="B33" s="11" t="s">
        <v>402</v>
      </c>
      <c r="C33" s="11" t="s">
        <v>403</v>
      </c>
      <c r="D33" s="11" t="s">
        <v>404</v>
      </c>
      <c r="E33" s="11" t="s">
        <v>405</v>
      </c>
      <c r="F33" s="11" t="s">
        <v>406</v>
      </c>
      <c r="G33" s="11" t="s">
        <v>407</v>
      </c>
      <c r="H33" s="11" t="s">
        <v>408</v>
      </c>
      <c r="I33" s="11" t="s">
        <v>409</v>
      </c>
      <c r="J33" s="11" t="s">
        <v>410</v>
      </c>
    </row>
    <row r="34" spans="1:10" x14ac:dyDescent="0.3">
      <c r="A34" s="76" t="s">
        <v>724</v>
      </c>
      <c r="B34" s="77">
        <f>$B$31</f>
        <v>21.947942386831279</v>
      </c>
      <c r="C34" s="78" t="s">
        <v>379</v>
      </c>
      <c r="D34" s="76" t="s">
        <v>413</v>
      </c>
      <c r="E34" s="78" t="s">
        <v>725</v>
      </c>
      <c r="F34" s="81">
        <f>$B$13</f>
        <v>160</v>
      </c>
      <c r="G34" s="13">
        <f t="shared" ref="G34:G42" si="0">IF(D34="Material",B34*F34,0)</f>
        <v>3511.6707818930045</v>
      </c>
      <c r="H34" s="13">
        <f t="shared" ref="H34:H42" si="1">IF(D34="Labor",B34*F34,0)</f>
        <v>0</v>
      </c>
      <c r="I34" s="13">
        <f t="shared" ref="I34:I42" si="2">G34+H34</f>
        <v>3511.6707818930045</v>
      </c>
      <c r="J34" s="78"/>
    </row>
    <row r="35" spans="1:10" x14ac:dyDescent="0.3">
      <c r="A35" s="76" t="s">
        <v>696</v>
      </c>
      <c r="B35" s="77">
        <f>$B$9*$B$24/12/27*1.1</f>
        <v>16.251028806584365</v>
      </c>
      <c r="C35" s="78" t="s">
        <v>379</v>
      </c>
      <c r="D35" s="76" t="s">
        <v>413</v>
      </c>
      <c r="E35" s="78" t="s">
        <v>726</v>
      </c>
      <c r="F35" s="81">
        <f>$B$14</f>
        <v>35</v>
      </c>
      <c r="G35" s="13">
        <f t="shared" si="0"/>
        <v>568.78600823045281</v>
      </c>
      <c r="H35" s="13">
        <f t="shared" si="1"/>
        <v>0</v>
      </c>
      <c r="I35" s="13">
        <f t="shared" si="2"/>
        <v>568.78600823045281</v>
      </c>
      <c r="J35" s="78"/>
    </row>
    <row r="36" spans="1:10" x14ac:dyDescent="0.3">
      <c r="A36" s="76" t="s">
        <v>702</v>
      </c>
      <c r="B36" s="77">
        <f>$B$9*1.1</f>
        <v>1316.3333333333335</v>
      </c>
      <c r="C36" s="78" t="s">
        <v>285</v>
      </c>
      <c r="D36" s="76" t="s">
        <v>413</v>
      </c>
      <c r="E36" s="78" t="s">
        <v>727</v>
      </c>
      <c r="F36" s="81">
        <f>$B$17</f>
        <v>0.12</v>
      </c>
      <c r="G36" s="13">
        <f t="shared" si="0"/>
        <v>157.96</v>
      </c>
      <c r="H36" s="13">
        <f t="shared" si="1"/>
        <v>0</v>
      </c>
      <c r="I36" s="13">
        <f t="shared" si="2"/>
        <v>157.96</v>
      </c>
      <c r="J36" s="78"/>
    </row>
    <row r="37" spans="1:10" x14ac:dyDescent="0.3">
      <c r="A37" s="76" t="s">
        <v>728</v>
      </c>
      <c r="B37" s="77">
        <f>$B$9*1.1</f>
        <v>1316.3333333333335</v>
      </c>
      <c r="C37" s="78" t="s">
        <v>285</v>
      </c>
      <c r="D37" s="76" t="s">
        <v>413</v>
      </c>
      <c r="E37" s="78" t="s">
        <v>729</v>
      </c>
      <c r="F37" s="81">
        <f>$B$16</f>
        <v>0.35</v>
      </c>
      <c r="G37" s="13">
        <f t="shared" si="0"/>
        <v>460.7166666666667</v>
      </c>
      <c r="H37" s="13">
        <f t="shared" si="1"/>
        <v>0</v>
      </c>
      <c r="I37" s="13">
        <f t="shared" si="2"/>
        <v>460.7166666666667</v>
      </c>
      <c r="J37" s="78"/>
    </row>
    <row r="38" spans="1:10" x14ac:dyDescent="0.3">
      <c r="A38" s="76" t="s">
        <v>730</v>
      </c>
      <c r="B38" s="77">
        <f>$B$10*$B$25*1.1</f>
        <v>307.63333333333338</v>
      </c>
      <c r="C38" s="78" t="s">
        <v>282</v>
      </c>
      <c r="D38" s="76" t="s">
        <v>413</v>
      </c>
      <c r="E38" s="78" t="s">
        <v>731</v>
      </c>
      <c r="F38" s="81">
        <f>$B$15</f>
        <v>0.9</v>
      </c>
      <c r="G38" s="13">
        <f t="shared" si="0"/>
        <v>276.87000000000006</v>
      </c>
      <c r="H38" s="13">
        <f t="shared" si="1"/>
        <v>0</v>
      </c>
      <c r="I38" s="13">
        <f t="shared" si="2"/>
        <v>276.87000000000006</v>
      </c>
      <c r="J38" s="78"/>
    </row>
    <row r="39" spans="1:10" x14ac:dyDescent="0.3">
      <c r="A39" s="76" t="s">
        <v>732</v>
      </c>
      <c r="B39" s="77">
        <f>$B$10</f>
        <v>139.83333333333334</v>
      </c>
      <c r="C39" s="78" t="s">
        <v>282</v>
      </c>
      <c r="D39" s="76" t="s">
        <v>413</v>
      </c>
      <c r="E39" s="78" t="s">
        <v>733</v>
      </c>
      <c r="F39" s="81">
        <f>$B$18</f>
        <v>2</v>
      </c>
      <c r="G39" s="13">
        <f t="shared" si="0"/>
        <v>279.66666666666669</v>
      </c>
      <c r="H39" s="13">
        <f t="shared" si="1"/>
        <v>0</v>
      </c>
      <c r="I39" s="13">
        <f t="shared" si="2"/>
        <v>279.66666666666669</v>
      </c>
      <c r="J39" s="78"/>
    </row>
    <row r="40" spans="1:10" x14ac:dyDescent="0.3">
      <c r="A40" s="76" t="s">
        <v>734</v>
      </c>
      <c r="B40" s="77">
        <f>$B$9*$B$26</f>
        <v>35.9</v>
      </c>
      <c r="C40" s="78" t="s">
        <v>244</v>
      </c>
      <c r="D40" s="76" t="s">
        <v>23</v>
      </c>
      <c r="E40" s="78" t="s">
        <v>735</v>
      </c>
      <c r="F40" s="81">
        <f>$B$11</f>
        <v>35</v>
      </c>
      <c r="G40" s="13">
        <f t="shared" si="0"/>
        <v>0</v>
      </c>
      <c r="H40" s="13">
        <f t="shared" si="1"/>
        <v>1256.5</v>
      </c>
      <c r="I40" s="13">
        <f t="shared" si="2"/>
        <v>1256.5</v>
      </c>
      <c r="J40" s="78"/>
    </row>
    <row r="41" spans="1:10" x14ac:dyDescent="0.3">
      <c r="A41" s="76" t="s">
        <v>736</v>
      </c>
      <c r="B41" s="77">
        <f>$B$9*$B$27</f>
        <v>59.833333333333343</v>
      </c>
      <c r="C41" s="78" t="s">
        <v>244</v>
      </c>
      <c r="D41" s="76" t="s">
        <v>23</v>
      </c>
      <c r="E41" s="78" t="s">
        <v>735</v>
      </c>
      <c r="F41" s="81">
        <f>$B$11</f>
        <v>35</v>
      </c>
      <c r="G41" s="13">
        <f t="shared" si="0"/>
        <v>0</v>
      </c>
      <c r="H41" s="13">
        <f t="shared" si="1"/>
        <v>2094.166666666667</v>
      </c>
      <c r="I41" s="13">
        <f t="shared" si="2"/>
        <v>2094.166666666667</v>
      </c>
      <c r="J41" s="78"/>
    </row>
    <row r="42" spans="1:10" x14ac:dyDescent="0.3">
      <c r="A42" s="76" t="s">
        <v>737</v>
      </c>
      <c r="B42" s="77">
        <f>$B$10*$B$28</f>
        <v>34.958333333333336</v>
      </c>
      <c r="C42" s="78" t="s">
        <v>244</v>
      </c>
      <c r="D42" s="76" t="s">
        <v>23</v>
      </c>
      <c r="E42" s="78" t="s">
        <v>735</v>
      </c>
      <c r="F42" s="81">
        <f>$B$11</f>
        <v>35</v>
      </c>
      <c r="G42" s="13">
        <f t="shared" si="0"/>
        <v>0</v>
      </c>
      <c r="H42" s="13">
        <f t="shared" si="1"/>
        <v>1223.5416666666667</v>
      </c>
      <c r="I42" s="13">
        <f t="shared" si="2"/>
        <v>1223.5416666666667</v>
      </c>
      <c r="J42" s="78"/>
    </row>
    <row r="43" spans="1:10" x14ac:dyDescent="0.3">
      <c r="A43" s="16" t="s">
        <v>738</v>
      </c>
      <c r="B43" s="20"/>
      <c r="C43" s="20"/>
      <c r="D43" s="20"/>
      <c r="E43" s="20"/>
      <c r="F43" s="20"/>
      <c r="G43" s="80">
        <f>SUM(G34:G42)</f>
        <v>5255.67012345679</v>
      </c>
      <c r="H43" s="80">
        <f>SUM(H34:H42)</f>
        <v>4574.2083333333339</v>
      </c>
      <c r="I43" s="80">
        <f>SUM(I34:I42)</f>
        <v>9829.8784567901221</v>
      </c>
      <c r="J43" s="20"/>
    </row>
    <row r="45" spans="1:10" x14ac:dyDescent="0.3">
      <c r="A45" s="4" t="s">
        <v>739</v>
      </c>
      <c r="B45" s="5"/>
      <c r="C45" s="5"/>
      <c r="D45" s="5"/>
      <c r="E45" s="5"/>
      <c r="F45" s="5"/>
      <c r="G45" s="5"/>
      <c r="H45" s="5"/>
      <c r="I45" s="5"/>
      <c r="J45" s="5"/>
    </row>
    <row r="46" spans="1:10" x14ac:dyDescent="0.3">
      <c r="A46" s="21" t="s">
        <v>740</v>
      </c>
      <c r="B46" s="7">
        <v>16</v>
      </c>
      <c r="C46" s="2" t="s">
        <v>134</v>
      </c>
      <c r="D46" s="2" t="s">
        <v>741</v>
      </c>
    </row>
    <row r="47" spans="1:10" x14ac:dyDescent="0.3">
      <c r="A47" s="21" t="s">
        <v>742</v>
      </c>
      <c r="B47" s="7">
        <v>8</v>
      </c>
      <c r="C47" s="2" t="s">
        <v>134</v>
      </c>
      <c r="D47" s="2" t="s">
        <v>711</v>
      </c>
    </row>
    <row r="48" spans="1:10" x14ac:dyDescent="0.3">
      <c r="A48" s="21" t="s">
        <v>743</v>
      </c>
      <c r="B48" s="7">
        <v>1</v>
      </c>
      <c r="C48" s="2" t="s">
        <v>744</v>
      </c>
      <c r="D48" s="2" t="s">
        <v>745</v>
      </c>
    </row>
    <row r="49" spans="1:4" x14ac:dyDescent="0.3">
      <c r="A49" s="21" t="s">
        <v>746</v>
      </c>
      <c r="B49" s="7">
        <v>2</v>
      </c>
      <c r="C49" s="2" t="s">
        <v>129</v>
      </c>
      <c r="D49" s="2" t="s">
        <v>714</v>
      </c>
    </row>
    <row r="50" spans="1:4" x14ac:dyDescent="0.3">
      <c r="A50" s="21" t="s">
        <v>747</v>
      </c>
      <c r="B50" s="68">
        <v>8</v>
      </c>
      <c r="C50" s="2" t="s">
        <v>699</v>
      </c>
      <c r="D50" s="2" t="s">
        <v>748</v>
      </c>
    </row>
    <row r="51" spans="1:4" x14ac:dyDescent="0.3">
      <c r="A51" s="21" t="s">
        <v>749</v>
      </c>
      <c r="B51" s="7">
        <v>0.5</v>
      </c>
      <c r="C51" s="2" t="s">
        <v>719</v>
      </c>
      <c r="D51" s="2" t="s">
        <v>711</v>
      </c>
    </row>
    <row r="52" spans="1:4" x14ac:dyDescent="0.3">
      <c r="A52" s="21" t="s">
        <v>750</v>
      </c>
      <c r="B52" s="73">
        <f>$B$10+IF($B$48=1,$B$7/12,0)</f>
        <v>179.83333333333334</v>
      </c>
      <c r="C52" s="2" t="s">
        <v>282</v>
      </c>
      <c r="D52" s="2"/>
    </row>
    <row r="53" spans="1:4" x14ac:dyDescent="0.3">
      <c r="A53" s="21" t="s">
        <v>751</v>
      </c>
      <c r="B53" s="72">
        <f>$B$52*$B$46/12*$B$47/12/27*(1+$B$12)</f>
        <v>6.5124828532235952</v>
      </c>
      <c r="C53" s="2" t="s">
        <v>379</v>
      </c>
      <c r="D53" s="2"/>
    </row>
    <row r="55" spans="1:4" x14ac:dyDescent="0.3">
      <c r="A55" s="6" t="s">
        <v>752</v>
      </c>
    </row>
    <row r="56" spans="1:4" x14ac:dyDescent="0.3">
      <c r="A56" s="21" t="s">
        <v>753</v>
      </c>
      <c r="B56" s="63">
        <v>2</v>
      </c>
      <c r="C56" s="2" t="s">
        <v>134</v>
      </c>
      <c r="D56" s="2" t="s">
        <v>754</v>
      </c>
    </row>
    <row r="57" spans="1:4" x14ac:dyDescent="0.3">
      <c r="A57" s="21" t="s">
        <v>143</v>
      </c>
      <c r="B57" s="63">
        <v>1.5</v>
      </c>
      <c r="C57" s="2" t="s">
        <v>134</v>
      </c>
      <c r="D57" s="2" t="s">
        <v>755</v>
      </c>
    </row>
    <row r="58" spans="1:4" x14ac:dyDescent="0.3">
      <c r="A58" s="21" t="s">
        <v>145</v>
      </c>
      <c r="B58" s="63">
        <v>6</v>
      </c>
      <c r="C58" s="2" t="s">
        <v>134</v>
      </c>
      <c r="D58" s="2" t="s">
        <v>756</v>
      </c>
    </row>
    <row r="59" spans="1:4" x14ac:dyDescent="0.3">
      <c r="A59" s="21" t="s">
        <v>757</v>
      </c>
      <c r="B59" s="63">
        <v>6.5</v>
      </c>
      <c r="C59" s="2" t="s">
        <v>134</v>
      </c>
      <c r="D59" s="2" t="s">
        <v>758</v>
      </c>
    </row>
    <row r="60" spans="1:4" x14ac:dyDescent="0.3">
      <c r="A60" s="21" t="s">
        <v>150</v>
      </c>
      <c r="B60" s="63">
        <v>16</v>
      </c>
      <c r="C60" s="2" t="s">
        <v>151</v>
      </c>
      <c r="D60" s="2" t="s">
        <v>755</v>
      </c>
    </row>
    <row r="61" spans="1:4" x14ac:dyDescent="0.3">
      <c r="A61" s="21" t="s">
        <v>759</v>
      </c>
      <c r="B61" s="63">
        <v>1.625</v>
      </c>
      <c r="C61" s="2" t="s">
        <v>134</v>
      </c>
      <c r="D61" s="2" t="s">
        <v>755</v>
      </c>
    </row>
    <row r="62" spans="1:4" x14ac:dyDescent="0.3">
      <c r="A62" s="21" t="s">
        <v>760</v>
      </c>
      <c r="B62" s="63">
        <v>48</v>
      </c>
      <c r="C62" s="2" t="s">
        <v>134</v>
      </c>
      <c r="D62" s="2" t="s">
        <v>761</v>
      </c>
    </row>
    <row r="63" spans="1:4" x14ac:dyDescent="0.3">
      <c r="A63" s="21" t="s">
        <v>762</v>
      </c>
      <c r="B63" s="63">
        <v>8</v>
      </c>
      <c r="C63" s="2" t="s">
        <v>129</v>
      </c>
      <c r="D63" s="2" t="s">
        <v>763</v>
      </c>
    </row>
    <row r="64" spans="1:4" x14ac:dyDescent="0.3">
      <c r="A64" s="21" t="s">
        <v>764</v>
      </c>
      <c r="B64" s="64">
        <f>Walls!$B$78</f>
        <v>35</v>
      </c>
      <c r="C64" s="2" t="s">
        <v>207</v>
      </c>
      <c r="D64" s="2" t="s">
        <v>693</v>
      </c>
    </row>
    <row r="65" spans="1:4" x14ac:dyDescent="0.3">
      <c r="A65" s="21" t="s">
        <v>225</v>
      </c>
      <c r="B65" s="69">
        <f>Walls!$B$85</f>
        <v>0.1</v>
      </c>
      <c r="C65" s="2" t="s">
        <v>223</v>
      </c>
      <c r="D65" s="2" t="s">
        <v>693</v>
      </c>
    </row>
    <row r="66" spans="1:4" x14ac:dyDescent="0.3">
      <c r="A66" s="21" t="s">
        <v>765</v>
      </c>
      <c r="B66" s="31">
        <f>Walls!$B$81+Walls!$B$82</f>
        <v>220</v>
      </c>
      <c r="C66" s="2" t="s">
        <v>215</v>
      </c>
      <c r="D66" s="2" t="s">
        <v>766</v>
      </c>
    </row>
    <row r="67" spans="1:4" x14ac:dyDescent="0.3">
      <c r="A67" s="21" t="s">
        <v>767</v>
      </c>
      <c r="B67" s="68">
        <v>2.42</v>
      </c>
      <c r="C67" s="2" t="s">
        <v>699</v>
      </c>
      <c r="D67" s="2" t="s">
        <v>768</v>
      </c>
    </row>
    <row r="68" spans="1:4" x14ac:dyDescent="0.3">
      <c r="A68" s="21" t="s">
        <v>769</v>
      </c>
      <c r="B68" s="68">
        <v>2.42</v>
      </c>
      <c r="C68" s="2" t="s">
        <v>699</v>
      </c>
      <c r="D68" s="2" t="s">
        <v>770</v>
      </c>
    </row>
    <row r="69" spans="1:4" x14ac:dyDescent="0.3">
      <c r="A69" s="21" t="s">
        <v>771</v>
      </c>
      <c r="B69" s="68">
        <v>0.73</v>
      </c>
      <c r="C69" s="2" t="s">
        <v>699</v>
      </c>
      <c r="D69" s="2" t="s">
        <v>772</v>
      </c>
    </row>
    <row r="70" spans="1:4" x14ac:dyDescent="0.3">
      <c r="A70" s="21" t="s">
        <v>773</v>
      </c>
      <c r="B70" s="68">
        <v>0.08</v>
      </c>
      <c r="C70" s="2" t="s">
        <v>774</v>
      </c>
      <c r="D70" s="2" t="s">
        <v>697</v>
      </c>
    </row>
    <row r="71" spans="1:4" x14ac:dyDescent="0.3">
      <c r="A71" s="21" t="s">
        <v>448</v>
      </c>
      <c r="B71" s="68">
        <v>0.95</v>
      </c>
      <c r="C71" s="2" t="s">
        <v>701</v>
      </c>
      <c r="D71" s="2" t="s">
        <v>697</v>
      </c>
    </row>
    <row r="72" spans="1:4" x14ac:dyDescent="0.3">
      <c r="A72" s="21" t="s">
        <v>775</v>
      </c>
      <c r="B72" s="68">
        <v>0.6</v>
      </c>
      <c r="C72" s="2" t="s">
        <v>774</v>
      </c>
      <c r="D72" s="2" t="s">
        <v>697</v>
      </c>
    </row>
    <row r="73" spans="1:4" x14ac:dyDescent="0.3">
      <c r="A73" s="21" t="s">
        <v>762</v>
      </c>
      <c r="B73" s="68">
        <v>28</v>
      </c>
      <c r="C73" s="2" t="s">
        <v>774</v>
      </c>
      <c r="D73" s="2" t="s">
        <v>697</v>
      </c>
    </row>
    <row r="74" spans="1:4" x14ac:dyDescent="0.3">
      <c r="A74" s="21" t="s">
        <v>776</v>
      </c>
      <c r="B74" s="68">
        <v>0.12</v>
      </c>
      <c r="C74" s="2" t="s">
        <v>701</v>
      </c>
      <c r="D74" s="2" t="s">
        <v>697</v>
      </c>
    </row>
    <row r="75" spans="1:4" x14ac:dyDescent="0.3">
      <c r="A75" s="21" t="s">
        <v>777</v>
      </c>
      <c r="B75" s="68">
        <v>1.8</v>
      </c>
      <c r="C75" s="2" t="s">
        <v>699</v>
      </c>
      <c r="D75" s="2" t="s">
        <v>697</v>
      </c>
    </row>
    <row r="76" spans="1:4" x14ac:dyDescent="0.3">
      <c r="A76" s="21" t="s">
        <v>778</v>
      </c>
      <c r="B76" s="68">
        <v>1500</v>
      </c>
      <c r="C76" s="2" t="s">
        <v>779</v>
      </c>
      <c r="D76" s="2" t="s">
        <v>780</v>
      </c>
    </row>
    <row r="77" spans="1:4" x14ac:dyDescent="0.3">
      <c r="A77" s="21" t="s">
        <v>781</v>
      </c>
      <c r="B77" s="7">
        <v>0.12</v>
      </c>
      <c r="C77" s="2" t="s">
        <v>583</v>
      </c>
      <c r="D77" s="2" t="s">
        <v>782</v>
      </c>
    </row>
    <row r="78" spans="1:4" x14ac:dyDescent="0.3">
      <c r="A78" s="21" t="s">
        <v>783</v>
      </c>
      <c r="B78" s="7">
        <v>0.03</v>
      </c>
      <c r="C78" s="2" t="s">
        <v>583</v>
      </c>
      <c r="D78" s="2" t="s">
        <v>782</v>
      </c>
    </row>
    <row r="79" spans="1:4" x14ac:dyDescent="0.3">
      <c r="A79" s="21" t="s">
        <v>784</v>
      </c>
      <c r="B79" s="7">
        <v>1.5</v>
      </c>
      <c r="C79" s="2" t="s">
        <v>253</v>
      </c>
      <c r="D79" s="2" t="s">
        <v>782</v>
      </c>
    </row>
    <row r="80" spans="1:4" x14ac:dyDescent="0.3">
      <c r="A80" s="21" t="s">
        <v>785</v>
      </c>
      <c r="B80" s="7">
        <v>32</v>
      </c>
      <c r="C80" s="2" t="s">
        <v>244</v>
      </c>
      <c r="D80" s="2" t="s">
        <v>782</v>
      </c>
    </row>
    <row r="81" spans="1:10" x14ac:dyDescent="0.3">
      <c r="A81" s="21" t="s">
        <v>786</v>
      </c>
      <c r="B81" s="66">
        <f>INT(($B$7-$B$61)/$B$60)+2</f>
        <v>31</v>
      </c>
      <c r="C81" s="2" t="s">
        <v>129</v>
      </c>
      <c r="D81" s="2" t="s">
        <v>787</v>
      </c>
    </row>
    <row r="82" spans="1:10" x14ac:dyDescent="0.3">
      <c r="A82" s="21" t="s">
        <v>788</v>
      </c>
      <c r="B82" s="74">
        <f>$B$8/12</f>
        <v>29.916666666666668</v>
      </c>
      <c r="C82" s="2" t="s">
        <v>232</v>
      </c>
      <c r="D82" s="2" t="s">
        <v>789</v>
      </c>
    </row>
    <row r="83" spans="1:10" x14ac:dyDescent="0.3">
      <c r="A83" s="21" t="s">
        <v>790</v>
      </c>
      <c r="B83" s="66">
        <f>INT(($B$8-24)/$B$62)+1+IF(MOD($B$8-24,$B$62)&gt;0,1,0)</f>
        <v>8</v>
      </c>
      <c r="C83" s="2" t="s">
        <v>129</v>
      </c>
      <c r="D83" s="2"/>
    </row>
    <row r="84" spans="1:10" x14ac:dyDescent="0.3">
      <c r="A84" s="21" t="s">
        <v>791</v>
      </c>
      <c r="B84" s="72">
        <f>$B$9*$B$59/12/27*(1+$B$12)</f>
        <v>26.407921810699591</v>
      </c>
      <c r="C84" s="2" t="s">
        <v>379</v>
      </c>
      <c r="D84" s="2" t="s">
        <v>792</v>
      </c>
    </row>
    <row r="85" spans="1:10" x14ac:dyDescent="0.3">
      <c r="A85" s="21" t="s">
        <v>793</v>
      </c>
      <c r="B85" s="75">
        <f>($B$59/12*$B$64+4)*$B$9</f>
        <v>27473.472222222223</v>
      </c>
      <c r="C85" s="2" t="s">
        <v>220</v>
      </c>
      <c r="D85" s="2" t="s">
        <v>794</v>
      </c>
    </row>
    <row r="87" spans="1:10" x14ac:dyDescent="0.3">
      <c r="A87" s="11" t="s">
        <v>401</v>
      </c>
      <c r="B87" s="11" t="s">
        <v>402</v>
      </c>
      <c r="C87" s="11" t="s">
        <v>403</v>
      </c>
      <c r="D87" s="11" t="s">
        <v>404</v>
      </c>
      <c r="E87" s="11" t="s">
        <v>405</v>
      </c>
      <c r="F87" s="11" t="s">
        <v>406</v>
      </c>
      <c r="G87" s="11" t="s">
        <v>407</v>
      </c>
      <c r="H87" s="11" t="s">
        <v>408</v>
      </c>
      <c r="I87" s="11" t="s">
        <v>409</v>
      </c>
      <c r="J87" s="11" t="s">
        <v>410</v>
      </c>
    </row>
    <row r="88" spans="1:10" x14ac:dyDescent="0.3">
      <c r="A88" s="76" t="s">
        <v>747</v>
      </c>
      <c r="B88" s="77">
        <f>$B$52</f>
        <v>179.83333333333334</v>
      </c>
      <c r="C88" s="78" t="s">
        <v>282</v>
      </c>
      <c r="D88" s="76" t="s">
        <v>413</v>
      </c>
      <c r="E88" s="78" t="s">
        <v>795</v>
      </c>
      <c r="F88" s="81">
        <f>$B$50</f>
        <v>8</v>
      </c>
      <c r="G88" s="13">
        <f t="shared" ref="G88:G107" si="3">IF(D88="Material",B88*F88,0)</f>
        <v>1438.6666666666667</v>
      </c>
      <c r="H88" s="13">
        <f t="shared" ref="H88:H107" si="4">IF(D88="Labor",B88*F88,0)</f>
        <v>0</v>
      </c>
      <c r="I88" s="13">
        <f t="shared" ref="I88:I107" si="5">G88+H88</f>
        <v>1438.6666666666667</v>
      </c>
      <c r="J88" s="78" t="s">
        <v>796</v>
      </c>
    </row>
    <row r="89" spans="1:10" x14ac:dyDescent="0.3">
      <c r="A89" s="76" t="s">
        <v>797</v>
      </c>
      <c r="B89" s="77">
        <f>$B$53</f>
        <v>6.5124828532235952</v>
      </c>
      <c r="C89" s="78" t="s">
        <v>379</v>
      </c>
      <c r="D89" s="76" t="s">
        <v>413</v>
      </c>
      <c r="E89" s="78" t="s">
        <v>798</v>
      </c>
      <c r="F89" s="81">
        <f>$B$13</f>
        <v>160</v>
      </c>
      <c r="G89" s="13">
        <f t="shared" si="3"/>
        <v>1041.9972565157752</v>
      </c>
      <c r="H89" s="13">
        <f t="shared" si="4"/>
        <v>0</v>
      </c>
      <c r="I89" s="13">
        <f t="shared" si="5"/>
        <v>1041.9972565157752</v>
      </c>
      <c r="J89" s="78"/>
    </row>
    <row r="90" spans="1:10" x14ac:dyDescent="0.3">
      <c r="A90" s="76" t="s">
        <v>799</v>
      </c>
      <c r="B90" s="77">
        <f>$B$52*$B$49*1.1</f>
        <v>395.63333333333338</v>
      </c>
      <c r="C90" s="78" t="s">
        <v>282</v>
      </c>
      <c r="D90" s="76" t="s">
        <v>413</v>
      </c>
      <c r="E90" s="78" t="s">
        <v>731</v>
      </c>
      <c r="F90" s="81">
        <f>$B$15</f>
        <v>0.9</v>
      </c>
      <c r="G90" s="13">
        <f t="shared" si="3"/>
        <v>356.07000000000005</v>
      </c>
      <c r="H90" s="13">
        <f t="shared" si="4"/>
        <v>0</v>
      </c>
      <c r="I90" s="13">
        <f t="shared" si="5"/>
        <v>356.07000000000005</v>
      </c>
      <c r="J90" s="78"/>
    </row>
    <row r="91" spans="1:10" x14ac:dyDescent="0.3">
      <c r="A91" s="76" t="s">
        <v>800</v>
      </c>
      <c r="B91" s="77">
        <f>$B$52*2</f>
        <v>359.66666666666669</v>
      </c>
      <c r="C91" s="78" t="s">
        <v>282</v>
      </c>
      <c r="D91" s="76" t="s">
        <v>413</v>
      </c>
      <c r="E91" s="78" t="s">
        <v>801</v>
      </c>
      <c r="F91" s="81">
        <f>$B$18</f>
        <v>2</v>
      </c>
      <c r="G91" s="13">
        <f t="shared" si="3"/>
        <v>719.33333333333337</v>
      </c>
      <c r="H91" s="13">
        <f t="shared" si="4"/>
        <v>0</v>
      </c>
      <c r="I91" s="13">
        <f t="shared" si="5"/>
        <v>719.33333333333337</v>
      </c>
      <c r="J91" s="78"/>
    </row>
    <row r="92" spans="1:10" x14ac:dyDescent="0.3">
      <c r="A92" s="76" t="s">
        <v>802</v>
      </c>
      <c r="B92" s="77">
        <f>$B$52*$B$51</f>
        <v>89.916666666666671</v>
      </c>
      <c r="C92" s="78" t="s">
        <v>244</v>
      </c>
      <c r="D92" s="76" t="s">
        <v>23</v>
      </c>
      <c r="E92" s="78" t="s">
        <v>735</v>
      </c>
      <c r="F92" s="81">
        <f>$B$11</f>
        <v>35</v>
      </c>
      <c r="G92" s="13">
        <f t="shared" si="3"/>
        <v>0</v>
      </c>
      <c r="H92" s="13">
        <f t="shared" si="4"/>
        <v>3147.0833333333335</v>
      </c>
      <c r="I92" s="13">
        <f t="shared" si="5"/>
        <v>3147.0833333333335</v>
      </c>
      <c r="J92" s="78"/>
    </row>
    <row r="93" spans="1:10" x14ac:dyDescent="0.3">
      <c r="A93" s="76" t="s">
        <v>803</v>
      </c>
      <c r="B93" s="77">
        <f>$B$84</f>
        <v>26.407921810699591</v>
      </c>
      <c r="C93" s="78" t="s">
        <v>379</v>
      </c>
      <c r="D93" s="76" t="s">
        <v>413</v>
      </c>
      <c r="E93" s="78" t="s">
        <v>804</v>
      </c>
      <c r="F93" s="81">
        <f>$B$66</f>
        <v>220</v>
      </c>
      <c r="G93" s="13">
        <f t="shared" si="3"/>
        <v>5809.7427983539101</v>
      </c>
      <c r="H93" s="13">
        <f t="shared" si="4"/>
        <v>0</v>
      </c>
      <c r="I93" s="13">
        <f t="shared" si="5"/>
        <v>5809.7427983539101</v>
      </c>
      <c r="J93" s="78"/>
    </row>
    <row r="94" spans="1:10" x14ac:dyDescent="0.3">
      <c r="A94" s="76" t="s">
        <v>805</v>
      </c>
      <c r="B94" s="77">
        <f>$B$81*$B$82</f>
        <v>927.41666666666674</v>
      </c>
      <c r="C94" s="78" t="s">
        <v>282</v>
      </c>
      <c r="D94" s="76" t="s">
        <v>413</v>
      </c>
      <c r="E94" s="78" t="s">
        <v>806</v>
      </c>
      <c r="F94" s="81">
        <f>$B$67</f>
        <v>2.42</v>
      </c>
      <c r="G94" s="13">
        <f t="shared" si="3"/>
        <v>2244.3483333333334</v>
      </c>
      <c r="H94" s="13">
        <f t="shared" si="4"/>
        <v>0</v>
      </c>
      <c r="I94" s="13">
        <f t="shared" si="5"/>
        <v>2244.3483333333334</v>
      </c>
      <c r="J94" s="78"/>
    </row>
    <row r="95" spans="1:10" x14ac:dyDescent="0.3">
      <c r="A95" s="76" t="s">
        <v>769</v>
      </c>
      <c r="B95" s="77">
        <f>2*$B$7/12</f>
        <v>80</v>
      </c>
      <c r="C95" s="78" t="s">
        <v>282</v>
      </c>
      <c r="D95" s="76" t="s">
        <v>413</v>
      </c>
      <c r="E95" s="78" t="s">
        <v>807</v>
      </c>
      <c r="F95" s="81">
        <f>$B$68</f>
        <v>2.42</v>
      </c>
      <c r="G95" s="13">
        <f t="shared" si="3"/>
        <v>193.6</v>
      </c>
      <c r="H95" s="13">
        <f t="shared" si="4"/>
        <v>0</v>
      </c>
      <c r="I95" s="13">
        <f t="shared" si="5"/>
        <v>193.6</v>
      </c>
      <c r="J95" s="78"/>
    </row>
    <row r="96" spans="1:10" x14ac:dyDescent="0.3">
      <c r="A96" s="76" t="s">
        <v>808</v>
      </c>
      <c r="B96" s="77">
        <f>$B$83*$B$7/12</f>
        <v>320</v>
      </c>
      <c r="C96" s="78" t="s">
        <v>282</v>
      </c>
      <c r="D96" s="76" t="s">
        <v>413</v>
      </c>
      <c r="E96" s="78" t="s">
        <v>809</v>
      </c>
      <c r="F96" s="81">
        <f>$B$69</f>
        <v>0.73</v>
      </c>
      <c r="G96" s="13">
        <f t="shared" si="3"/>
        <v>233.6</v>
      </c>
      <c r="H96" s="13">
        <f t="shared" si="4"/>
        <v>0</v>
      </c>
      <c r="I96" s="13">
        <f t="shared" si="5"/>
        <v>233.6</v>
      </c>
      <c r="J96" s="78"/>
    </row>
    <row r="97" spans="1:10" x14ac:dyDescent="0.3">
      <c r="A97" s="76" t="s">
        <v>431</v>
      </c>
      <c r="B97" s="79">
        <f>$B$83*$B$81*2</f>
        <v>496</v>
      </c>
      <c r="C97" s="78" t="s">
        <v>129</v>
      </c>
      <c r="D97" s="76" t="s">
        <v>413</v>
      </c>
      <c r="E97" s="78" t="s">
        <v>810</v>
      </c>
      <c r="F97" s="81">
        <f>$B$70</f>
        <v>0.08</v>
      </c>
      <c r="G97" s="13">
        <f t="shared" si="3"/>
        <v>39.68</v>
      </c>
      <c r="H97" s="13">
        <f t="shared" si="4"/>
        <v>0</v>
      </c>
      <c r="I97" s="13">
        <f t="shared" si="5"/>
        <v>39.68</v>
      </c>
      <c r="J97" s="78"/>
    </row>
    <row r="98" spans="1:10" x14ac:dyDescent="0.3">
      <c r="A98" s="76" t="s">
        <v>448</v>
      </c>
      <c r="B98" s="77">
        <f>$B$9*(1+$B$65)</f>
        <v>1316.3333333333335</v>
      </c>
      <c r="C98" s="78" t="s">
        <v>285</v>
      </c>
      <c r="D98" s="76" t="s">
        <v>413</v>
      </c>
      <c r="E98" s="78" t="s">
        <v>811</v>
      </c>
      <c r="F98" s="81">
        <f>$B$71</f>
        <v>0.95</v>
      </c>
      <c r="G98" s="13">
        <f t="shared" si="3"/>
        <v>1250.5166666666667</v>
      </c>
      <c r="H98" s="13">
        <f t="shared" si="4"/>
        <v>0</v>
      </c>
      <c r="I98" s="13">
        <f t="shared" si="5"/>
        <v>1250.5166666666667</v>
      </c>
      <c r="J98" s="78"/>
    </row>
    <row r="99" spans="1:10" x14ac:dyDescent="0.3">
      <c r="A99" s="76" t="s">
        <v>775</v>
      </c>
      <c r="B99" s="79">
        <f>$B$83*$B$81</f>
        <v>248</v>
      </c>
      <c r="C99" s="78" t="s">
        <v>129</v>
      </c>
      <c r="D99" s="76" t="s">
        <v>413</v>
      </c>
      <c r="E99" s="78" t="s">
        <v>812</v>
      </c>
      <c r="F99" s="81">
        <f>$B$72</f>
        <v>0.6</v>
      </c>
      <c r="G99" s="13">
        <f t="shared" si="3"/>
        <v>148.79999999999998</v>
      </c>
      <c r="H99" s="13">
        <f t="shared" si="4"/>
        <v>0</v>
      </c>
      <c r="I99" s="13">
        <f t="shared" si="5"/>
        <v>148.79999999999998</v>
      </c>
      <c r="J99" s="78"/>
    </row>
    <row r="100" spans="1:10" x14ac:dyDescent="0.3">
      <c r="A100" s="76" t="s">
        <v>762</v>
      </c>
      <c r="B100" s="79">
        <f>$B$63</f>
        <v>8</v>
      </c>
      <c r="C100" s="78" t="s">
        <v>129</v>
      </c>
      <c r="D100" s="76" t="s">
        <v>413</v>
      </c>
      <c r="E100" s="78" t="s">
        <v>813</v>
      </c>
      <c r="F100" s="81">
        <f>$B$73</f>
        <v>28</v>
      </c>
      <c r="G100" s="13">
        <f t="shared" si="3"/>
        <v>224</v>
      </c>
      <c r="H100" s="13">
        <f t="shared" si="4"/>
        <v>0</v>
      </c>
      <c r="I100" s="13">
        <f t="shared" si="5"/>
        <v>224</v>
      </c>
      <c r="J100" s="78"/>
    </row>
    <row r="101" spans="1:10" x14ac:dyDescent="0.3">
      <c r="A101" s="76" t="s">
        <v>814</v>
      </c>
      <c r="B101" s="77">
        <f>$B$9*1.1</f>
        <v>1316.3333333333335</v>
      </c>
      <c r="C101" s="78" t="s">
        <v>285</v>
      </c>
      <c r="D101" s="76" t="s">
        <v>413</v>
      </c>
      <c r="E101" s="78" t="s">
        <v>815</v>
      </c>
      <c r="F101" s="81">
        <f>$B$74</f>
        <v>0.12</v>
      </c>
      <c r="G101" s="13">
        <f t="shared" si="3"/>
        <v>157.96</v>
      </c>
      <c r="H101" s="13">
        <f t="shared" si="4"/>
        <v>0</v>
      </c>
      <c r="I101" s="13">
        <f t="shared" si="5"/>
        <v>157.96</v>
      </c>
      <c r="J101" s="78"/>
    </row>
    <row r="102" spans="1:10" x14ac:dyDescent="0.3">
      <c r="A102" s="76" t="s">
        <v>816</v>
      </c>
      <c r="B102" s="77">
        <f>$B$10</f>
        <v>139.83333333333334</v>
      </c>
      <c r="C102" s="78" t="s">
        <v>282</v>
      </c>
      <c r="D102" s="76" t="s">
        <v>413</v>
      </c>
      <c r="E102" s="78" t="s">
        <v>817</v>
      </c>
      <c r="F102" s="81">
        <f>$B$75</f>
        <v>1.8</v>
      </c>
      <c r="G102" s="13">
        <f t="shared" si="3"/>
        <v>251.70000000000002</v>
      </c>
      <c r="H102" s="13">
        <f t="shared" si="4"/>
        <v>0</v>
      </c>
      <c r="I102" s="13">
        <f t="shared" si="5"/>
        <v>251.70000000000002</v>
      </c>
      <c r="J102" s="78"/>
    </row>
    <row r="103" spans="1:10" x14ac:dyDescent="0.3">
      <c r="A103" s="76" t="s">
        <v>665</v>
      </c>
      <c r="B103" s="79">
        <v>1</v>
      </c>
      <c r="C103" s="78" t="s">
        <v>666</v>
      </c>
      <c r="D103" s="76" t="s">
        <v>413</v>
      </c>
      <c r="E103" s="78" t="s">
        <v>818</v>
      </c>
      <c r="F103" s="81">
        <f>$B$76</f>
        <v>1500</v>
      </c>
      <c r="G103" s="13">
        <f t="shared" si="3"/>
        <v>1500</v>
      </c>
      <c r="H103" s="13">
        <f t="shared" si="4"/>
        <v>0</v>
      </c>
      <c r="I103" s="13">
        <f t="shared" si="5"/>
        <v>1500</v>
      </c>
      <c r="J103" s="78" t="s">
        <v>819</v>
      </c>
    </row>
    <row r="104" spans="1:10" x14ac:dyDescent="0.3">
      <c r="A104" s="76" t="s">
        <v>781</v>
      </c>
      <c r="B104" s="77">
        <f>$B$9*$B$77</f>
        <v>143.6</v>
      </c>
      <c r="C104" s="78" t="s">
        <v>244</v>
      </c>
      <c r="D104" s="76" t="s">
        <v>23</v>
      </c>
      <c r="E104" s="78" t="s">
        <v>735</v>
      </c>
      <c r="F104" s="81">
        <f>$B$11</f>
        <v>35</v>
      </c>
      <c r="G104" s="13">
        <f t="shared" si="3"/>
        <v>0</v>
      </c>
      <c r="H104" s="13">
        <f t="shared" si="4"/>
        <v>5026</v>
      </c>
      <c r="I104" s="13">
        <f t="shared" si="5"/>
        <v>5026</v>
      </c>
      <c r="J104" s="78"/>
    </row>
    <row r="105" spans="1:10" x14ac:dyDescent="0.3">
      <c r="A105" s="76" t="s">
        <v>783</v>
      </c>
      <c r="B105" s="77">
        <f>$B$9*$B$78</f>
        <v>35.9</v>
      </c>
      <c r="C105" s="78" t="s">
        <v>244</v>
      </c>
      <c r="D105" s="76" t="s">
        <v>23</v>
      </c>
      <c r="E105" s="78" t="s">
        <v>735</v>
      </c>
      <c r="F105" s="81">
        <f>$B$11</f>
        <v>35</v>
      </c>
      <c r="G105" s="13">
        <f t="shared" si="3"/>
        <v>0</v>
      </c>
      <c r="H105" s="13">
        <f t="shared" si="4"/>
        <v>1256.5</v>
      </c>
      <c r="I105" s="13">
        <f t="shared" si="5"/>
        <v>1256.5</v>
      </c>
      <c r="J105" s="78"/>
    </row>
    <row r="106" spans="1:10" x14ac:dyDescent="0.3">
      <c r="A106" s="76" t="s">
        <v>784</v>
      </c>
      <c r="B106" s="77">
        <f>$B$84*$B$79</f>
        <v>39.611882716049386</v>
      </c>
      <c r="C106" s="78" t="s">
        <v>244</v>
      </c>
      <c r="D106" s="76" t="s">
        <v>23</v>
      </c>
      <c r="E106" s="78" t="s">
        <v>735</v>
      </c>
      <c r="F106" s="81">
        <f>$B$11</f>
        <v>35</v>
      </c>
      <c r="G106" s="13">
        <f t="shared" si="3"/>
        <v>0</v>
      </c>
      <c r="H106" s="13">
        <f t="shared" si="4"/>
        <v>1386.4158950617286</v>
      </c>
      <c r="I106" s="13">
        <f t="shared" si="5"/>
        <v>1386.4158950617286</v>
      </c>
      <c r="J106" s="78"/>
    </row>
    <row r="107" spans="1:10" x14ac:dyDescent="0.3">
      <c r="A107" s="76" t="s">
        <v>820</v>
      </c>
      <c r="B107" s="77">
        <f>$B$80</f>
        <v>32</v>
      </c>
      <c r="C107" s="78" t="s">
        <v>244</v>
      </c>
      <c r="D107" s="76" t="s">
        <v>23</v>
      </c>
      <c r="E107" s="78" t="s">
        <v>735</v>
      </c>
      <c r="F107" s="81">
        <f>$B$11</f>
        <v>35</v>
      </c>
      <c r="G107" s="13">
        <f t="shared" si="3"/>
        <v>0</v>
      </c>
      <c r="H107" s="13">
        <f t="shared" si="4"/>
        <v>1120</v>
      </c>
      <c r="I107" s="13">
        <f t="shared" si="5"/>
        <v>1120</v>
      </c>
      <c r="J107" s="78"/>
    </row>
    <row r="108" spans="1:10" x14ac:dyDescent="0.3">
      <c r="A108" s="16" t="s">
        <v>821</v>
      </c>
      <c r="B108" s="20"/>
      <c r="C108" s="20"/>
      <c r="D108" s="20"/>
      <c r="E108" s="20"/>
      <c r="F108" s="20"/>
      <c r="G108" s="80">
        <f>SUM(G88:G107)</f>
        <v>15610.015054869686</v>
      </c>
      <c r="H108" s="80">
        <f>SUM(H88:H107)</f>
        <v>11935.999228395063</v>
      </c>
      <c r="I108" s="80">
        <f>SUM(I88:I107)</f>
        <v>27546.014283264747</v>
      </c>
      <c r="J108" s="20"/>
    </row>
    <row r="110" spans="1:10" x14ac:dyDescent="0.3">
      <c r="A110" s="4" t="s">
        <v>822</v>
      </c>
      <c r="B110" s="5"/>
      <c r="C110" s="5"/>
      <c r="D110" s="5"/>
      <c r="E110" s="5"/>
      <c r="F110" s="5"/>
      <c r="G110" s="5"/>
      <c r="H110" s="5"/>
      <c r="I110" s="5"/>
      <c r="J110" s="5"/>
    </row>
    <row r="111" spans="1:10" x14ac:dyDescent="0.3">
      <c r="A111" s="16"/>
      <c r="B111" s="16"/>
      <c r="C111" s="16"/>
      <c r="D111" s="16"/>
      <c r="E111" s="16"/>
      <c r="F111" s="16"/>
      <c r="G111" s="16" t="s">
        <v>22</v>
      </c>
      <c r="H111" s="16" t="s">
        <v>23</v>
      </c>
      <c r="I111" s="16" t="s">
        <v>24</v>
      </c>
      <c r="J111" s="16"/>
    </row>
    <row r="112" spans="1:10" x14ac:dyDescent="0.3">
      <c r="A112" s="6" t="s">
        <v>705</v>
      </c>
      <c r="G112" s="90">
        <f>$G$43</f>
        <v>5255.67012345679</v>
      </c>
      <c r="H112" s="90">
        <f>$H$43</f>
        <v>4574.2083333333339</v>
      </c>
      <c r="I112" s="90">
        <f>G112+H112</f>
        <v>9829.8784567901239</v>
      </c>
    </row>
    <row r="113" spans="1:10" x14ac:dyDescent="0.3">
      <c r="A113" s="6" t="s">
        <v>823</v>
      </c>
      <c r="G113" s="90">
        <f>$G$108</f>
        <v>15610.015054869686</v>
      </c>
      <c r="H113" s="90">
        <f>$H$108</f>
        <v>11935.999228395063</v>
      </c>
      <c r="I113" s="90">
        <f>G113+H113</f>
        <v>27546.014283264747</v>
      </c>
    </row>
    <row r="114" spans="1:10" x14ac:dyDescent="0.3">
      <c r="A114" s="21" t="s">
        <v>824</v>
      </c>
      <c r="G114" s="91">
        <f>$G$113-$G$112</f>
        <v>10354.344931412896</v>
      </c>
      <c r="H114" s="91">
        <f>$H$113-$H$112</f>
        <v>7361.7908950617293</v>
      </c>
      <c r="I114" s="91">
        <f>G114+H114</f>
        <v>17716.135826474623</v>
      </c>
    </row>
    <row r="115" spans="1:10" x14ac:dyDescent="0.3">
      <c r="A115" s="92" t="s">
        <v>825</v>
      </c>
      <c r="B115" s="83"/>
      <c r="C115" s="83"/>
      <c r="D115" s="83"/>
      <c r="E115" s="83"/>
      <c r="F115" s="83"/>
      <c r="G115" s="93">
        <f>IF($B$6="A",$G$112,$G$113)</f>
        <v>5255.67012345679</v>
      </c>
      <c r="H115" s="93">
        <f>IF($B$6="A",$H$112,$H$113)</f>
        <v>4574.2083333333339</v>
      </c>
      <c r="I115" s="93">
        <f>G115+H115</f>
        <v>9829.8784567901239</v>
      </c>
      <c r="J115" s="83"/>
    </row>
    <row r="116" spans="1:10" x14ac:dyDescent="0.3">
      <c r="A116" s="21" t="s">
        <v>826</v>
      </c>
      <c r="B116" s="81">
        <f>$I$112/$B$9</f>
        <v>8.2143831115237802</v>
      </c>
    </row>
    <row r="117" spans="1:10" x14ac:dyDescent="0.3">
      <c r="A117" s="21" t="s">
        <v>827</v>
      </c>
      <c r="B117" s="81">
        <f>$I$113/$B$9</f>
        <v>23.018953440054105</v>
      </c>
    </row>
    <row r="118" spans="1:10" x14ac:dyDescent="0.3">
      <c r="A118" s="21" t="s">
        <v>828</v>
      </c>
      <c r="B118" s="94">
        <f>$B$85</f>
        <v>27473.472222222223</v>
      </c>
    </row>
    <row r="120" spans="1:10" ht="30" customHeight="1" x14ac:dyDescent="0.3">
      <c r="A120" s="105" t="s">
        <v>829</v>
      </c>
      <c r="B120" s="106"/>
      <c r="C120" s="106"/>
      <c r="D120" s="106"/>
      <c r="E120" s="106"/>
      <c r="F120" s="106"/>
      <c r="G120" s="106"/>
      <c r="H120" s="106"/>
      <c r="I120" s="106"/>
      <c r="J120" s="106"/>
    </row>
    <row r="121" spans="1:10" ht="30" customHeight="1" x14ac:dyDescent="0.3">
      <c r="A121" s="105" t="s">
        <v>830</v>
      </c>
      <c r="B121" s="106"/>
      <c r="C121" s="106"/>
      <c r="D121" s="106"/>
      <c r="E121" s="106"/>
      <c r="F121" s="106"/>
      <c r="G121" s="106"/>
      <c r="H121" s="106"/>
      <c r="I121" s="106"/>
      <c r="J121" s="106"/>
    </row>
    <row r="122" spans="1:10" ht="30" customHeight="1" x14ac:dyDescent="0.3">
      <c r="A122" s="105" t="s">
        <v>831</v>
      </c>
      <c r="B122" s="106"/>
      <c r="C122" s="106"/>
      <c r="D122" s="106"/>
      <c r="E122" s="106"/>
      <c r="F122" s="106"/>
      <c r="G122" s="106"/>
      <c r="H122" s="106"/>
      <c r="I122" s="106"/>
      <c r="J122" s="106"/>
    </row>
  </sheetData>
  <mergeCells count="4">
    <mergeCell ref="A121:J121"/>
    <mergeCell ref="A122:J122"/>
    <mergeCell ref="A120:J120"/>
    <mergeCell ref="A2:J2"/>
  </mergeCell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1"/>
  <sheetViews>
    <sheetView showGridLines="0" workbookViewId="0">
      <pane ySplit="4" topLeftCell="A5" activePane="bottomLeft" state="frozen"/>
      <selection pane="bottomLeft"/>
    </sheetView>
  </sheetViews>
  <sheetFormatPr defaultRowHeight="14.4" x14ac:dyDescent="0.3"/>
  <cols>
    <col min="1" max="1" width="52" customWidth="1"/>
    <col min="2" max="2" width="11" customWidth="1"/>
    <col min="3" max="5" width="13" customWidth="1"/>
    <col min="6" max="6" width="15" customWidth="1"/>
    <col min="7" max="8" width="13" customWidth="1"/>
    <col min="9" max="9" width="74" customWidth="1"/>
  </cols>
  <sheetData>
    <row r="1" spans="1:10" ht="17.399999999999999" x14ac:dyDescent="0.3">
      <c r="A1" s="53" t="s">
        <v>832</v>
      </c>
    </row>
    <row r="2" spans="1:10" ht="43.95" customHeight="1" x14ac:dyDescent="0.3">
      <c r="A2" s="105" t="s">
        <v>833</v>
      </c>
      <c r="B2" s="106"/>
      <c r="C2" s="106"/>
      <c r="D2" s="106"/>
      <c r="E2" s="106"/>
      <c r="F2" s="106"/>
      <c r="G2" s="106"/>
      <c r="H2" s="106"/>
      <c r="I2" s="106"/>
      <c r="J2" s="106"/>
    </row>
    <row r="3" spans="1:10" x14ac:dyDescent="0.3">
      <c r="A3" s="3" t="s">
        <v>111</v>
      </c>
    </row>
    <row r="5" spans="1:10" x14ac:dyDescent="0.3">
      <c r="A5" s="4" t="s">
        <v>834</v>
      </c>
      <c r="B5" s="5"/>
      <c r="C5" s="5"/>
      <c r="D5" s="5"/>
      <c r="E5" s="5"/>
      <c r="F5" s="5"/>
      <c r="G5" s="5"/>
      <c r="H5" s="5"/>
      <c r="I5" s="5"/>
    </row>
    <row r="6" spans="1:10" x14ac:dyDescent="0.3">
      <c r="A6" s="21" t="s">
        <v>240</v>
      </c>
      <c r="B6" s="31">
        <f>Walls!$B$94</f>
        <v>35</v>
      </c>
      <c r="C6" s="2" t="s">
        <v>241</v>
      </c>
      <c r="D6" s="2" t="s">
        <v>835</v>
      </c>
    </row>
    <row r="7" spans="1:10" x14ac:dyDescent="0.3">
      <c r="A7" s="21" t="s">
        <v>836</v>
      </c>
      <c r="B7" s="64" t="str">
        <f>Summary!$B$6</f>
        <v>shed</v>
      </c>
      <c r="C7" s="2"/>
      <c r="D7" s="2" t="s">
        <v>837</v>
      </c>
    </row>
    <row r="8" spans="1:10" x14ac:dyDescent="0.3">
      <c r="A8" s="21" t="s">
        <v>838</v>
      </c>
      <c r="B8" s="65">
        <f>Roof!$B$10</f>
        <v>1</v>
      </c>
      <c r="C8" s="2" t="s">
        <v>539</v>
      </c>
      <c r="D8" s="2" t="s">
        <v>839</v>
      </c>
    </row>
    <row r="9" spans="1:10" x14ac:dyDescent="0.3">
      <c r="A9" s="21" t="s">
        <v>17</v>
      </c>
      <c r="B9" s="95">
        <f>Summary!$B$9</f>
        <v>1066.3</v>
      </c>
      <c r="C9" s="2" t="s">
        <v>285</v>
      </c>
      <c r="D9" s="2" t="s">
        <v>840</v>
      </c>
    </row>
    <row r="10" spans="1:10" x14ac:dyDescent="0.3">
      <c r="A10" s="21" t="s">
        <v>841</v>
      </c>
      <c r="B10" s="95">
        <f>Walls!$B$123</f>
        <v>1181.8333333333335</v>
      </c>
      <c r="C10" s="2" t="s">
        <v>285</v>
      </c>
      <c r="D10" s="2" t="s">
        <v>842</v>
      </c>
    </row>
    <row r="11" spans="1:10" x14ac:dyDescent="0.3">
      <c r="A11" s="21" t="s">
        <v>843</v>
      </c>
      <c r="B11" s="65">
        <f>Walls!$B$295</f>
        <v>34</v>
      </c>
      <c r="C11" s="2" t="s">
        <v>129</v>
      </c>
      <c r="D11" s="2" t="s">
        <v>844</v>
      </c>
    </row>
    <row r="12" spans="1:10" x14ac:dyDescent="0.3">
      <c r="A12" s="21" t="s">
        <v>845</v>
      </c>
      <c r="B12" s="64" t="str">
        <f>Summary!$B$7</f>
        <v>A</v>
      </c>
      <c r="C12" s="2"/>
      <c r="D12" s="2" t="s">
        <v>846</v>
      </c>
    </row>
    <row r="14" spans="1:10" x14ac:dyDescent="0.3">
      <c r="A14" s="4" t="s">
        <v>847</v>
      </c>
      <c r="B14" s="5"/>
      <c r="C14" s="5"/>
      <c r="D14" s="5"/>
      <c r="E14" s="5"/>
      <c r="F14" s="5"/>
      <c r="G14" s="5"/>
      <c r="H14" s="5"/>
      <c r="I14" s="5"/>
    </row>
    <row r="15" spans="1:10" x14ac:dyDescent="0.3">
      <c r="A15" s="11" t="s">
        <v>401</v>
      </c>
      <c r="B15" s="11" t="s">
        <v>402</v>
      </c>
      <c r="C15" s="11" t="s">
        <v>403</v>
      </c>
      <c r="D15" s="11" t="s">
        <v>848</v>
      </c>
      <c r="E15" s="11" t="s">
        <v>407</v>
      </c>
      <c r="F15" s="11" t="s">
        <v>849</v>
      </c>
      <c r="G15" s="11" t="s">
        <v>408</v>
      </c>
      <c r="H15" s="11" t="s">
        <v>409</v>
      </c>
      <c r="I15" s="11" t="s">
        <v>27</v>
      </c>
    </row>
    <row r="16" spans="1:10" x14ac:dyDescent="0.3">
      <c r="A16" s="76" t="s">
        <v>850</v>
      </c>
      <c r="B16" s="96">
        <v>12</v>
      </c>
      <c r="C16" s="78" t="s">
        <v>851</v>
      </c>
      <c r="D16" s="68">
        <v>140</v>
      </c>
      <c r="E16" s="13">
        <f t="shared" ref="E16:E25" si="0">B16*D16</f>
        <v>1680</v>
      </c>
      <c r="F16" s="97">
        <v>4</v>
      </c>
      <c r="G16" s="13">
        <f t="shared" ref="G16:G25" si="1">B16*F16*$B$6</f>
        <v>1680</v>
      </c>
      <c r="H16" s="13">
        <f t="shared" ref="H16:H25" si="2">E16+G16</f>
        <v>3360</v>
      </c>
      <c r="I16" s="78" t="s">
        <v>852</v>
      </c>
    </row>
    <row r="17" spans="1:9" x14ac:dyDescent="0.3">
      <c r="A17" s="76" t="s">
        <v>853</v>
      </c>
      <c r="B17" s="96">
        <v>1</v>
      </c>
      <c r="C17" s="78" t="s">
        <v>129</v>
      </c>
      <c r="D17" s="68">
        <v>450</v>
      </c>
      <c r="E17" s="13">
        <f t="shared" si="0"/>
        <v>450</v>
      </c>
      <c r="F17" s="97">
        <v>6</v>
      </c>
      <c r="G17" s="13">
        <f t="shared" si="1"/>
        <v>210</v>
      </c>
      <c r="H17" s="13">
        <f t="shared" si="2"/>
        <v>660</v>
      </c>
      <c r="I17" s="78" t="s">
        <v>854</v>
      </c>
    </row>
    <row r="18" spans="1:9" x14ac:dyDescent="0.3">
      <c r="A18" s="76" t="s">
        <v>855</v>
      </c>
      <c r="B18" s="96">
        <v>1</v>
      </c>
      <c r="C18" s="78" t="s">
        <v>129</v>
      </c>
      <c r="D18" s="68">
        <v>600</v>
      </c>
      <c r="E18" s="13">
        <f t="shared" si="0"/>
        <v>600</v>
      </c>
      <c r="F18" s="97">
        <v>8</v>
      </c>
      <c r="G18" s="13">
        <f t="shared" si="1"/>
        <v>280</v>
      </c>
      <c r="H18" s="13">
        <f t="shared" si="2"/>
        <v>880</v>
      </c>
      <c r="I18" s="78" t="s">
        <v>856</v>
      </c>
    </row>
    <row r="19" spans="1:9" x14ac:dyDescent="0.3">
      <c r="A19" s="76" t="s">
        <v>857</v>
      </c>
      <c r="B19" s="96">
        <v>1</v>
      </c>
      <c r="C19" s="78" t="s">
        <v>129</v>
      </c>
      <c r="D19" s="68">
        <v>750</v>
      </c>
      <c r="E19" s="13">
        <f t="shared" si="0"/>
        <v>750</v>
      </c>
      <c r="F19" s="97">
        <v>4</v>
      </c>
      <c r="G19" s="13">
        <f t="shared" si="1"/>
        <v>140</v>
      </c>
      <c r="H19" s="13">
        <f t="shared" si="2"/>
        <v>890</v>
      </c>
      <c r="I19" s="78" t="s">
        <v>858</v>
      </c>
    </row>
    <row r="20" spans="1:9" x14ac:dyDescent="0.3">
      <c r="A20" s="76" t="s">
        <v>859</v>
      </c>
      <c r="B20" s="96">
        <v>2</v>
      </c>
      <c r="C20" s="78" t="s">
        <v>129</v>
      </c>
      <c r="D20" s="68">
        <v>260</v>
      </c>
      <c r="E20" s="13">
        <f t="shared" si="0"/>
        <v>520</v>
      </c>
      <c r="F20" s="97">
        <v>1.5</v>
      </c>
      <c r="G20" s="13">
        <f t="shared" si="1"/>
        <v>105</v>
      </c>
      <c r="H20" s="13">
        <f t="shared" si="2"/>
        <v>625</v>
      </c>
      <c r="I20" s="78" t="s">
        <v>860</v>
      </c>
    </row>
    <row r="21" spans="1:9" x14ac:dyDescent="0.3">
      <c r="A21" s="76" t="s">
        <v>861</v>
      </c>
      <c r="B21" s="96">
        <v>2</v>
      </c>
      <c r="C21" s="78" t="s">
        <v>129</v>
      </c>
      <c r="D21" s="68">
        <v>520</v>
      </c>
      <c r="E21" s="13">
        <f t="shared" si="0"/>
        <v>1040</v>
      </c>
      <c r="F21" s="97">
        <v>2</v>
      </c>
      <c r="G21" s="13">
        <f t="shared" si="1"/>
        <v>140</v>
      </c>
      <c r="H21" s="13">
        <f t="shared" si="2"/>
        <v>1180</v>
      </c>
      <c r="I21" s="78" t="s">
        <v>862</v>
      </c>
    </row>
    <row r="22" spans="1:9" x14ac:dyDescent="0.3">
      <c r="A22" s="76" t="s">
        <v>863</v>
      </c>
      <c r="B22" s="96">
        <v>1</v>
      </c>
      <c r="C22" s="78" t="s">
        <v>129</v>
      </c>
      <c r="D22" s="68">
        <v>1150</v>
      </c>
      <c r="E22" s="13">
        <f t="shared" si="0"/>
        <v>1150</v>
      </c>
      <c r="F22" s="97">
        <v>6</v>
      </c>
      <c r="G22" s="13">
        <f t="shared" si="1"/>
        <v>210</v>
      </c>
      <c r="H22" s="13">
        <f t="shared" si="2"/>
        <v>1360</v>
      </c>
      <c r="I22" s="78" t="s">
        <v>864</v>
      </c>
    </row>
    <row r="23" spans="1:9" x14ac:dyDescent="0.3">
      <c r="A23" s="76" t="s">
        <v>865</v>
      </c>
      <c r="B23" s="96">
        <v>1</v>
      </c>
      <c r="C23" s="78" t="s">
        <v>129</v>
      </c>
      <c r="D23" s="68">
        <v>650</v>
      </c>
      <c r="E23" s="13">
        <f t="shared" si="0"/>
        <v>650</v>
      </c>
      <c r="F23" s="97">
        <v>5</v>
      </c>
      <c r="G23" s="13">
        <f t="shared" si="1"/>
        <v>175</v>
      </c>
      <c r="H23" s="13">
        <f t="shared" si="2"/>
        <v>825</v>
      </c>
      <c r="I23" s="78" t="s">
        <v>866</v>
      </c>
    </row>
    <row r="24" spans="1:9" x14ac:dyDescent="0.3">
      <c r="A24" s="76" t="s">
        <v>867</v>
      </c>
      <c r="B24" s="96">
        <v>1</v>
      </c>
      <c r="C24" s="78" t="s">
        <v>129</v>
      </c>
      <c r="D24" s="68">
        <v>620</v>
      </c>
      <c r="E24" s="13">
        <f t="shared" si="0"/>
        <v>620</v>
      </c>
      <c r="F24" s="97">
        <v>3</v>
      </c>
      <c r="G24" s="13">
        <f t="shared" si="1"/>
        <v>105</v>
      </c>
      <c r="H24" s="13">
        <f t="shared" si="2"/>
        <v>725</v>
      </c>
      <c r="I24" s="78"/>
    </row>
    <row r="25" spans="1:9" x14ac:dyDescent="0.3">
      <c r="A25" s="76" t="s">
        <v>868</v>
      </c>
      <c r="B25" s="96">
        <v>1</v>
      </c>
      <c r="C25" s="78" t="s">
        <v>129</v>
      </c>
      <c r="D25" s="68">
        <v>120</v>
      </c>
      <c r="E25" s="13">
        <f t="shared" si="0"/>
        <v>120</v>
      </c>
      <c r="F25" s="97">
        <v>2</v>
      </c>
      <c r="G25" s="13">
        <f t="shared" si="1"/>
        <v>70</v>
      </c>
      <c r="H25" s="13">
        <f t="shared" si="2"/>
        <v>190</v>
      </c>
      <c r="I25" s="78" t="s">
        <v>869</v>
      </c>
    </row>
    <row r="26" spans="1:9" x14ac:dyDescent="0.3">
      <c r="A26" s="16" t="s">
        <v>870</v>
      </c>
      <c r="B26" s="20"/>
      <c r="C26" s="20"/>
      <c r="D26" s="20"/>
      <c r="E26" s="80">
        <f>SUM(E16:E25)</f>
        <v>7580</v>
      </c>
      <c r="F26" s="20"/>
      <c r="G26" s="80">
        <f>SUM(G16:G25)</f>
        <v>3115</v>
      </c>
      <c r="H26" s="80">
        <f>SUM(H16:H25)</f>
        <v>10695</v>
      </c>
      <c r="I26" s="20"/>
    </row>
    <row r="28" spans="1:9" x14ac:dyDescent="0.3">
      <c r="A28" s="4" t="s">
        <v>871</v>
      </c>
      <c r="B28" s="5"/>
      <c r="C28" s="5"/>
      <c r="D28" s="5"/>
      <c r="E28" s="5"/>
      <c r="F28" s="5"/>
      <c r="G28" s="5"/>
      <c r="H28" s="5"/>
      <c r="I28" s="5"/>
    </row>
    <row r="29" spans="1:9" x14ac:dyDescent="0.3">
      <c r="A29" s="11" t="s">
        <v>401</v>
      </c>
      <c r="B29" s="11" t="s">
        <v>402</v>
      </c>
      <c r="C29" s="11" t="s">
        <v>403</v>
      </c>
      <c r="D29" s="11" t="s">
        <v>848</v>
      </c>
      <c r="E29" s="11" t="s">
        <v>407</v>
      </c>
      <c r="F29" s="11" t="s">
        <v>849</v>
      </c>
      <c r="G29" s="11" t="s">
        <v>408</v>
      </c>
      <c r="H29" s="11" t="s">
        <v>409</v>
      </c>
      <c r="I29" s="11" t="s">
        <v>27</v>
      </c>
    </row>
    <row r="30" spans="1:9" x14ac:dyDescent="0.3">
      <c r="A30" s="76" t="s">
        <v>872</v>
      </c>
      <c r="B30" s="96">
        <v>1</v>
      </c>
      <c r="C30" s="78" t="s">
        <v>129</v>
      </c>
      <c r="D30" s="68">
        <v>1900</v>
      </c>
      <c r="E30" s="13">
        <f t="shared" ref="E30:E37" si="3">B30*D30</f>
        <v>1900</v>
      </c>
      <c r="F30" s="97">
        <v>16</v>
      </c>
      <c r="G30" s="13">
        <f t="shared" ref="G30:G37" si="4">B30*F30*$B$6</f>
        <v>560</v>
      </c>
      <c r="H30" s="13">
        <f t="shared" ref="H30:H37" si="5">E30+G30</f>
        <v>2460</v>
      </c>
      <c r="I30" s="78" t="s">
        <v>873</v>
      </c>
    </row>
    <row r="31" spans="1:9" x14ac:dyDescent="0.3">
      <c r="A31" s="76" t="s">
        <v>874</v>
      </c>
      <c r="B31" s="98">
        <f>$B$11</f>
        <v>34</v>
      </c>
      <c r="C31" s="78" t="s">
        <v>875</v>
      </c>
      <c r="D31" s="68">
        <v>45</v>
      </c>
      <c r="E31" s="13">
        <f t="shared" si="3"/>
        <v>1530</v>
      </c>
      <c r="F31" s="97">
        <v>0.9</v>
      </c>
      <c r="G31" s="13">
        <f t="shared" si="4"/>
        <v>1071</v>
      </c>
      <c r="H31" s="13">
        <f t="shared" si="5"/>
        <v>2601</v>
      </c>
      <c r="I31" s="78" t="s">
        <v>876</v>
      </c>
    </row>
    <row r="32" spans="1:9" x14ac:dyDescent="0.3">
      <c r="A32" s="76" t="s">
        <v>877</v>
      </c>
      <c r="B32" s="96">
        <v>7</v>
      </c>
      <c r="C32" s="78" t="s">
        <v>878</v>
      </c>
      <c r="D32" s="68">
        <v>110</v>
      </c>
      <c r="E32" s="13">
        <f t="shared" si="3"/>
        <v>770</v>
      </c>
      <c r="F32" s="97">
        <v>2.5</v>
      </c>
      <c r="G32" s="13">
        <f t="shared" si="4"/>
        <v>612.5</v>
      </c>
      <c r="H32" s="13">
        <f t="shared" si="5"/>
        <v>1382.5</v>
      </c>
      <c r="I32" s="78"/>
    </row>
    <row r="33" spans="1:9" x14ac:dyDescent="0.3">
      <c r="A33" s="76" t="s">
        <v>879</v>
      </c>
      <c r="B33" s="96">
        <v>8</v>
      </c>
      <c r="C33" s="78" t="s">
        <v>129</v>
      </c>
      <c r="D33" s="68">
        <v>35</v>
      </c>
      <c r="E33" s="13">
        <f t="shared" si="3"/>
        <v>280</v>
      </c>
      <c r="F33" s="97">
        <v>0.5</v>
      </c>
      <c r="G33" s="13">
        <f t="shared" si="4"/>
        <v>140</v>
      </c>
      <c r="H33" s="13">
        <f t="shared" si="5"/>
        <v>420</v>
      </c>
      <c r="I33" s="78" t="s">
        <v>880</v>
      </c>
    </row>
    <row r="34" spans="1:9" x14ac:dyDescent="0.3">
      <c r="A34" s="76" t="s">
        <v>881</v>
      </c>
      <c r="B34" s="96">
        <v>4</v>
      </c>
      <c r="C34" s="78" t="s">
        <v>129</v>
      </c>
      <c r="D34" s="68">
        <v>45</v>
      </c>
      <c r="E34" s="13">
        <f t="shared" si="3"/>
        <v>180</v>
      </c>
      <c r="F34" s="97">
        <v>0.5</v>
      </c>
      <c r="G34" s="13">
        <f t="shared" si="4"/>
        <v>70</v>
      </c>
      <c r="H34" s="13">
        <f t="shared" si="5"/>
        <v>250</v>
      </c>
      <c r="I34" s="78" t="s">
        <v>882</v>
      </c>
    </row>
    <row r="35" spans="1:9" x14ac:dyDescent="0.3">
      <c r="A35" s="76" t="s">
        <v>883</v>
      </c>
      <c r="B35" s="96">
        <v>2</v>
      </c>
      <c r="C35" s="78" t="s">
        <v>129</v>
      </c>
      <c r="D35" s="68">
        <v>140</v>
      </c>
      <c r="E35" s="13">
        <f t="shared" si="3"/>
        <v>280</v>
      </c>
      <c r="F35" s="97">
        <v>1.5</v>
      </c>
      <c r="G35" s="13">
        <f t="shared" si="4"/>
        <v>105</v>
      </c>
      <c r="H35" s="13">
        <f t="shared" si="5"/>
        <v>385</v>
      </c>
      <c r="I35" s="78" t="s">
        <v>884</v>
      </c>
    </row>
    <row r="36" spans="1:9" x14ac:dyDescent="0.3">
      <c r="A36" s="76" t="s">
        <v>885</v>
      </c>
      <c r="B36" s="96">
        <v>1</v>
      </c>
      <c r="C36" s="78" t="s">
        <v>129</v>
      </c>
      <c r="D36" s="68">
        <v>260</v>
      </c>
      <c r="E36" s="13">
        <f t="shared" si="3"/>
        <v>260</v>
      </c>
      <c r="F36" s="97">
        <v>2</v>
      </c>
      <c r="G36" s="13">
        <f t="shared" si="4"/>
        <v>70</v>
      </c>
      <c r="H36" s="13">
        <f t="shared" si="5"/>
        <v>330</v>
      </c>
      <c r="I36" s="78"/>
    </row>
    <row r="37" spans="1:9" x14ac:dyDescent="0.3">
      <c r="A37" s="76" t="s">
        <v>886</v>
      </c>
      <c r="B37" s="96">
        <v>1</v>
      </c>
      <c r="C37" s="78" t="s">
        <v>887</v>
      </c>
      <c r="D37" s="68">
        <v>350</v>
      </c>
      <c r="E37" s="13">
        <f t="shared" si="3"/>
        <v>350</v>
      </c>
      <c r="F37" s="97">
        <v>6</v>
      </c>
      <c r="G37" s="13">
        <f t="shared" si="4"/>
        <v>210</v>
      </c>
      <c r="H37" s="13">
        <f t="shared" si="5"/>
        <v>560</v>
      </c>
      <c r="I37" s="78"/>
    </row>
    <row r="38" spans="1:9" x14ac:dyDescent="0.3">
      <c r="A38" s="16" t="s">
        <v>888</v>
      </c>
      <c r="B38" s="20"/>
      <c r="C38" s="20"/>
      <c r="D38" s="20"/>
      <c r="E38" s="80">
        <f>SUM(E30:E37)</f>
        <v>5550</v>
      </c>
      <c r="F38" s="20"/>
      <c r="G38" s="80">
        <f>SUM(G30:G37)</f>
        <v>2838.5</v>
      </c>
      <c r="H38" s="80">
        <f>SUM(H30:H37)</f>
        <v>8388.5</v>
      </c>
      <c r="I38" s="20"/>
    </row>
    <row r="40" spans="1:9" x14ac:dyDescent="0.3">
      <c r="A40" s="4" t="s">
        <v>889</v>
      </c>
      <c r="B40" s="5"/>
      <c r="C40" s="5"/>
      <c r="D40" s="5"/>
      <c r="E40" s="5"/>
      <c r="F40" s="5"/>
      <c r="G40" s="5"/>
      <c r="H40" s="5"/>
      <c r="I40" s="5"/>
    </row>
    <row r="41" spans="1:9" x14ac:dyDescent="0.3">
      <c r="A41" s="11" t="s">
        <v>401</v>
      </c>
      <c r="B41" s="11" t="s">
        <v>402</v>
      </c>
      <c r="C41" s="11" t="s">
        <v>403</v>
      </c>
      <c r="D41" s="11" t="s">
        <v>848</v>
      </c>
      <c r="E41" s="11" t="s">
        <v>407</v>
      </c>
      <c r="F41" s="11" t="s">
        <v>849</v>
      </c>
      <c r="G41" s="11" t="s">
        <v>408</v>
      </c>
      <c r="H41" s="11" t="s">
        <v>409</v>
      </c>
      <c r="I41" s="11" t="s">
        <v>27</v>
      </c>
    </row>
    <row r="42" spans="1:9" x14ac:dyDescent="0.3">
      <c r="A42" s="76" t="s">
        <v>890</v>
      </c>
      <c r="B42" s="96">
        <v>12</v>
      </c>
      <c r="C42" s="78" t="s">
        <v>129</v>
      </c>
      <c r="D42" s="68">
        <v>55</v>
      </c>
      <c r="E42" s="13">
        <f t="shared" ref="E42:E47" si="6">B42*D42</f>
        <v>660</v>
      </c>
      <c r="F42" s="97">
        <v>0.75</v>
      </c>
      <c r="G42" s="13">
        <f t="shared" ref="G42:G47" si="7">B42*F42*$B$6</f>
        <v>315</v>
      </c>
      <c r="H42" s="13">
        <f t="shared" ref="H42:H47" si="8">E42+G42</f>
        <v>975</v>
      </c>
      <c r="I42" s="78" t="s">
        <v>891</v>
      </c>
    </row>
    <row r="43" spans="1:9" x14ac:dyDescent="0.3">
      <c r="A43" s="76" t="s">
        <v>892</v>
      </c>
      <c r="B43" s="96">
        <v>3</v>
      </c>
      <c r="C43" s="78" t="s">
        <v>129</v>
      </c>
      <c r="D43" s="68">
        <v>120</v>
      </c>
      <c r="E43" s="13">
        <f t="shared" si="6"/>
        <v>360</v>
      </c>
      <c r="F43" s="97">
        <v>1</v>
      </c>
      <c r="G43" s="13">
        <f t="shared" si="7"/>
        <v>105</v>
      </c>
      <c r="H43" s="13">
        <f t="shared" si="8"/>
        <v>465</v>
      </c>
      <c r="I43" s="78"/>
    </row>
    <row r="44" spans="1:9" x14ac:dyDescent="0.3">
      <c r="A44" s="76" t="s">
        <v>893</v>
      </c>
      <c r="B44" s="96">
        <v>2</v>
      </c>
      <c r="C44" s="78" t="s">
        <v>129</v>
      </c>
      <c r="D44" s="68">
        <v>180</v>
      </c>
      <c r="E44" s="13">
        <f t="shared" si="6"/>
        <v>360</v>
      </c>
      <c r="F44" s="97">
        <v>1.5</v>
      </c>
      <c r="G44" s="13">
        <f t="shared" si="7"/>
        <v>105</v>
      </c>
      <c r="H44" s="13">
        <f t="shared" si="8"/>
        <v>465</v>
      </c>
      <c r="I44" s="78"/>
    </row>
    <row r="45" spans="1:9" x14ac:dyDescent="0.3">
      <c r="A45" s="76" t="s">
        <v>894</v>
      </c>
      <c r="B45" s="96">
        <v>2</v>
      </c>
      <c r="C45" s="78" t="s">
        <v>129</v>
      </c>
      <c r="D45" s="68">
        <v>110</v>
      </c>
      <c r="E45" s="13">
        <f t="shared" si="6"/>
        <v>220</v>
      </c>
      <c r="F45" s="97">
        <v>1</v>
      </c>
      <c r="G45" s="13">
        <f t="shared" si="7"/>
        <v>70</v>
      </c>
      <c r="H45" s="13">
        <f t="shared" si="8"/>
        <v>290</v>
      </c>
      <c r="I45" s="78"/>
    </row>
    <row r="46" spans="1:9" x14ac:dyDescent="0.3">
      <c r="A46" s="76" t="s">
        <v>895</v>
      </c>
      <c r="B46" s="96">
        <v>4</v>
      </c>
      <c r="C46" s="78" t="s">
        <v>129</v>
      </c>
      <c r="D46" s="68">
        <v>45</v>
      </c>
      <c r="E46" s="13">
        <f t="shared" si="6"/>
        <v>180</v>
      </c>
      <c r="F46" s="97">
        <v>0.75</v>
      </c>
      <c r="G46" s="13">
        <f t="shared" si="7"/>
        <v>105</v>
      </c>
      <c r="H46" s="13">
        <f t="shared" si="8"/>
        <v>285</v>
      </c>
      <c r="I46" s="78"/>
    </row>
    <row r="47" spans="1:9" x14ac:dyDescent="0.3">
      <c r="A47" s="76" t="s">
        <v>896</v>
      </c>
      <c r="B47" s="96">
        <v>4</v>
      </c>
      <c r="C47" s="78" t="s">
        <v>129</v>
      </c>
      <c r="D47" s="68">
        <v>95</v>
      </c>
      <c r="E47" s="13">
        <f t="shared" si="6"/>
        <v>380</v>
      </c>
      <c r="F47" s="97">
        <v>1</v>
      </c>
      <c r="G47" s="13">
        <f t="shared" si="7"/>
        <v>140</v>
      </c>
      <c r="H47" s="13">
        <f t="shared" si="8"/>
        <v>520</v>
      </c>
      <c r="I47" s="78"/>
    </row>
    <row r="48" spans="1:9" x14ac:dyDescent="0.3">
      <c r="A48" s="16" t="s">
        <v>897</v>
      </c>
      <c r="B48" s="20"/>
      <c r="C48" s="20"/>
      <c r="D48" s="20"/>
      <c r="E48" s="80">
        <f>SUM(E42:E47)</f>
        <v>2160</v>
      </c>
      <c r="F48" s="20"/>
      <c r="G48" s="80">
        <f>SUM(G42:G47)</f>
        <v>840</v>
      </c>
      <c r="H48" s="80">
        <f>SUM(H42:H47)</f>
        <v>3000</v>
      </c>
      <c r="I48" s="20"/>
    </row>
    <row r="50" spans="1:9" x14ac:dyDescent="0.3">
      <c r="A50" s="4" t="s">
        <v>898</v>
      </c>
      <c r="B50" s="5"/>
      <c r="C50" s="5"/>
      <c r="D50" s="5"/>
      <c r="E50" s="5"/>
      <c r="F50" s="5"/>
      <c r="G50" s="5"/>
      <c r="H50" s="5"/>
      <c r="I50" s="5"/>
    </row>
    <row r="51" spans="1:9" x14ac:dyDescent="0.3">
      <c r="A51" s="21" t="s">
        <v>899</v>
      </c>
      <c r="B51" s="7" t="s">
        <v>13</v>
      </c>
      <c r="C51" s="2"/>
      <c r="D51" s="2" t="s">
        <v>900</v>
      </c>
    </row>
    <row r="52" spans="1:9" x14ac:dyDescent="0.3">
      <c r="A52" s="21" t="s">
        <v>901</v>
      </c>
      <c r="B52" s="7" t="s">
        <v>902</v>
      </c>
      <c r="C52" s="2"/>
      <c r="D52" s="2" t="s">
        <v>903</v>
      </c>
    </row>
    <row r="53" spans="1:9" x14ac:dyDescent="0.3">
      <c r="A53" s="11" t="s">
        <v>401</v>
      </c>
      <c r="B53" s="11" t="s">
        <v>402</v>
      </c>
      <c r="C53" s="11" t="s">
        <v>403</v>
      </c>
      <c r="D53" s="11" t="s">
        <v>848</v>
      </c>
      <c r="E53" s="11" t="s">
        <v>407</v>
      </c>
      <c r="F53" s="11" t="s">
        <v>849</v>
      </c>
      <c r="G53" s="11" t="s">
        <v>408</v>
      </c>
      <c r="H53" s="11" t="s">
        <v>409</v>
      </c>
      <c r="I53" s="11" t="s">
        <v>27</v>
      </c>
    </row>
    <row r="54" spans="1:9" x14ac:dyDescent="0.3">
      <c r="A54" s="76" t="s">
        <v>904</v>
      </c>
      <c r="B54" s="75">
        <f>IF($B$51="A",1,0)*1</f>
        <v>1</v>
      </c>
      <c r="C54" s="78" t="s">
        <v>905</v>
      </c>
      <c r="D54" s="68">
        <v>5200</v>
      </c>
      <c r="E54" s="13">
        <f>B54*D54</f>
        <v>5200</v>
      </c>
      <c r="F54" s="99">
        <v>2200</v>
      </c>
      <c r="G54" s="13">
        <f>B54*F54</f>
        <v>2200</v>
      </c>
      <c r="H54" s="13">
        <f>E54+G54</f>
        <v>7400</v>
      </c>
      <c r="I54" s="78" t="s">
        <v>906</v>
      </c>
    </row>
    <row r="55" spans="1:9" x14ac:dyDescent="0.3">
      <c r="A55" s="76" t="s">
        <v>907</v>
      </c>
      <c r="B55" s="75">
        <f>IF($B$51="B",1,0)*1</f>
        <v>0</v>
      </c>
      <c r="C55" s="78" t="s">
        <v>905</v>
      </c>
      <c r="D55" s="68">
        <v>1900</v>
      </c>
      <c r="E55" s="13">
        <f>B55*D55</f>
        <v>0</v>
      </c>
      <c r="F55" s="99">
        <v>900</v>
      </c>
      <c r="G55" s="13">
        <f>B55*F55</f>
        <v>0</v>
      </c>
      <c r="H55" s="13">
        <f>E55+G55</f>
        <v>0</v>
      </c>
      <c r="I55" s="78" t="s">
        <v>908</v>
      </c>
    </row>
    <row r="56" spans="1:9" x14ac:dyDescent="0.3">
      <c r="A56" s="76" t="s">
        <v>909</v>
      </c>
      <c r="B56" s="75">
        <f>IF($B$51="C",1,0)*1</f>
        <v>0</v>
      </c>
      <c r="C56" s="78" t="s">
        <v>905</v>
      </c>
      <c r="D56" s="68">
        <v>8200</v>
      </c>
      <c r="E56" s="13">
        <f>B56*D56</f>
        <v>0</v>
      </c>
      <c r="F56" s="99">
        <v>4800</v>
      </c>
      <c r="G56" s="13">
        <f>B56*F56</f>
        <v>0</v>
      </c>
      <c r="H56" s="13">
        <f>E56+G56</f>
        <v>0</v>
      </c>
      <c r="I56" s="78" t="s">
        <v>910</v>
      </c>
    </row>
    <row r="57" spans="1:9" x14ac:dyDescent="0.3">
      <c r="A57" s="76" t="s">
        <v>911</v>
      </c>
      <c r="B57" s="75">
        <f>IF($B$52="yes",1,0)*1</f>
        <v>1</v>
      </c>
      <c r="C57" s="78" t="s">
        <v>129</v>
      </c>
      <c r="D57" s="68">
        <v>1400</v>
      </c>
      <c r="E57" s="13">
        <f>B57*D57</f>
        <v>1400</v>
      </c>
      <c r="F57" s="99">
        <v>800</v>
      </c>
      <c r="G57" s="13">
        <f>B57*F57</f>
        <v>800</v>
      </c>
      <c r="H57" s="13">
        <f>E57+G57</f>
        <v>2200</v>
      </c>
      <c r="I57" s="78" t="s">
        <v>912</v>
      </c>
    </row>
    <row r="58" spans="1:9" x14ac:dyDescent="0.3">
      <c r="A58" s="16" t="s">
        <v>913</v>
      </c>
      <c r="B58" s="20"/>
      <c r="C58" s="20"/>
      <c r="D58" s="20"/>
      <c r="E58" s="80">
        <f>SUM(E54:E57)</f>
        <v>6600</v>
      </c>
      <c r="F58" s="20"/>
      <c r="G58" s="80">
        <f>SUM(G54:G57)</f>
        <v>3000</v>
      </c>
      <c r="H58" s="80">
        <f>SUM(H54:H57)</f>
        <v>9600</v>
      </c>
      <c r="I58" s="20"/>
    </row>
    <row r="60" spans="1:9" x14ac:dyDescent="0.3">
      <c r="A60" s="4" t="s">
        <v>914</v>
      </c>
      <c r="B60" s="5"/>
      <c r="C60" s="5"/>
      <c r="D60" s="5"/>
      <c r="E60" s="5"/>
      <c r="F60" s="5"/>
      <c r="G60" s="5"/>
      <c r="H60" s="5"/>
      <c r="I60" s="5"/>
    </row>
    <row r="61" spans="1:9" x14ac:dyDescent="0.3">
      <c r="A61" s="11" t="s">
        <v>401</v>
      </c>
      <c r="B61" s="11" t="s">
        <v>402</v>
      </c>
      <c r="C61" s="11" t="s">
        <v>403</v>
      </c>
      <c r="D61" s="11" t="s">
        <v>848</v>
      </c>
      <c r="E61" s="11" t="s">
        <v>407</v>
      </c>
      <c r="F61" s="11" t="s">
        <v>849</v>
      </c>
      <c r="G61" s="11" t="s">
        <v>408</v>
      </c>
      <c r="H61" s="11" t="s">
        <v>409</v>
      </c>
      <c r="I61" s="11" t="s">
        <v>27</v>
      </c>
    </row>
    <row r="62" spans="1:9" x14ac:dyDescent="0.3">
      <c r="A62" s="76" t="s">
        <v>915</v>
      </c>
      <c r="B62" s="100">
        <v>22</v>
      </c>
      <c r="C62" s="78" t="s">
        <v>282</v>
      </c>
      <c r="D62" s="68">
        <v>210</v>
      </c>
      <c r="E62" s="13">
        <f t="shared" ref="E62:E70" si="9">B62*D62</f>
        <v>4620</v>
      </c>
      <c r="F62" s="97">
        <v>1.2</v>
      </c>
      <c r="G62" s="13">
        <f t="shared" ref="G62:G70" si="10">B62*F62*$B$6</f>
        <v>924</v>
      </c>
      <c r="H62" s="13">
        <f t="shared" ref="H62:H70" si="11">E62+G62</f>
        <v>5544</v>
      </c>
      <c r="I62" s="78" t="s">
        <v>916</v>
      </c>
    </row>
    <row r="63" spans="1:9" x14ac:dyDescent="0.3">
      <c r="A63" s="76" t="s">
        <v>917</v>
      </c>
      <c r="B63" s="100">
        <v>7</v>
      </c>
      <c r="C63" s="78" t="s">
        <v>282</v>
      </c>
      <c r="D63" s="68">
        <v>240</v>
      </c>
      <c r="E63" s="13">
        <f t="shared" si="9"/>
        <v>1680</v>
      </c>
      <c r="F63" s="97">
        <v>1.2</v>
      </c>
      <c r="G63" s="13">
        <f t="shared" si="10"/>
        <v>294</v>
      </c>
      <c r="H63" s="13">
        <f t="shared" si="11"/>
        <v>1974</v>
      </c>
      <c r="I63" s="78" t="s">
        <v>918</v>
      </c>
    </row>
    <row r="64" spans="1:9" x14ac:dyDescent="0.3">
      <c r="A64" s="76" t="s">
        <v>919</v>
      </c>
      <c r="B64" s="100">
        <v>62</v>
      </c>
      <c r="C64" s="78" t="s">
        <v>285</v>
      </c>
      <c r="D64" s="68">
        <v>70</v>
      </c>
      <c r="E64" s="13">
        <f t="shared" si="9"/>
        <v>4340</v>
      </c>
      <c r="F64" s="97">
        <v>0.4</v>
      </c>
      <c r="G64" s="13">
        <f t="shared" si="10"/>
        <v>868</v>
      </c>
      <c r="H64" s="13">
        <f t="shared" si="11"/>
        <v>5208</v>
      </c>
      <c r="I64" s="78" t="s">
        <v>920</v>
      </c>
    </row>
    <row r="65" spans="1:9" x14ac:dyDescent="0.3">
      <c r="A65" s="76" t="s">
        <v>921</v>
      </c>
      <c r="B65" s="100">
        <v>30</v>
      </c>
      <c r="C65" s="78" t="s">
        <v>285</v>
      </c>
      <c r="D65" s="68">
        <v>12</v>
      </c>
      <c r="E65" s="13">
        <f t="shared" si="9"/>
        <v>360</v>
      </c>
      <c r="F65" s="97">
        <v>0.6</v>
      </c>
      <c r="G65" s="13">
        <f t="shared" si="10"/>
        <v>630</v>
      </c>
      <c r="H65" s="13">
        <f t="shared" si="11"/>
        <v>990</v>
      </c>
      <c r="I65" s="78"/>
    </row>
    <row r="66" spans="1:9" x14ac:dyDescent="0.3">
      <c r="A66" s="76" t="s">
        <v>922</v>
      </c>
      <c r="B66" s="96">
        <v>1</v>
      </c>
      <c r="C66" s="78" t="s">
        <v>129</v>
      </c>
      <c r="D66" s="68">
        <v>1500</v>
      </c>
      <c r="E66" s="13">
        <f t="shared" si="9"/>
        <v>1500</v>
      </c>
      <c r="F66" s="97">
        <v>0.5</v>
      </c>
      <c r="G66" s="13">
        <f t="shared" si="10"/>
        <v>17.5</v>
      </c>
      <c r="H66" s="13">
        <f t="shared" si="11"/>
        <v>1517.5</v>
      </c>
      <c r="I66" s="78"/>
    </row>
    <row r="67" spans="1:9" x14ac:dyDescent="0.3">
      <c r="A67" s="76" t="s">
        <v>923</v>
      </c>
      <c r="B67" s="96">
        <v>1</v>
      </c>
      <c r="C67" s="78" t="s">
        <v>129</v>
      </c>
      <c r="D67" s="68">
        <v>900</v>
      </c>
      <c r="E67" s="13">
        <f t="shared" si="9"/>
        <v>900</v>
      </c>
      <c r="F67" s="97">
        <v>1</v>
      </c>
      <c r="G67" s="13">
        <f t="shared" si="10"/>
        <v>35</v>
      </c>
      <c r="H67" s="13">
        <f t="shared" si="11"/>
        <v>935</v>
      </c>
      <c r="I67" s="78"/>
    </row>
    <row r="68" spans="1:9" x14ac:dyDescent="0.3">
      <c r="A68" s="76" t="s">
        <v>924</v>
      </c>
      <c r="B68" s="96">
        <v>1</v>
      </c>
      <c r="C68" s="78" t="s">
        <v>129</v>
      </c>
      <c r="D68" s="68">
        <v>650</v>
      </c>
      <c r="E68" s="13">
        <f t="shared" si="9"/>
        <v>650</v>
      </c>
      <c r="F68" s="97">
        <v>1.5</v>
      </c>
      <c r="G68" s="13">
        <f t="shared" si="10"/>
        <v>52.5</v>
      </c>
      <c r="H68" s="13">
        <f t="shared" si="11"/>
        <v>702.5</v>
      </c>
      <c r="I68" s="78"/>
    </row>
    <row r="69" spans="1:9" x14ac:dyDescent="0.3">
      <c r="A69" s="76" t="s">
        <v>925</v>
      </c>
      <c r="B69" s="96">
        <v>1</v>
      </c>
      <c r="C69" s="78" t="s">
        <v>129</v>
      </c>
      <c r="D69" s="68">
        <v>250</v>
      </c>
      <c r="E69" s="13">
        <f t="shared" si="9"/>
        <v>250</v>
      </c>
      <c r="F69" s="97">
        <v>0.5</v>
      </c>
      <c r="G69" s="13">
        <f t="shared" si="10"/>
        <v>17.5</v>
      </c>
      <c r="H69" s="13">
        <f t="shared" si="11"/>
        <v>267.5</v>
      </c>
      <c r="I69" s="78"/>
    </row>
    <row r="70" spans="1:9" x14ac:dyDescent="0.3">
      <c r="A70" s="76" t="s">
        <v>926</v>
      </c>
      <c r="B70" s="96">
        <v>1</v>
      </c>
      <c r="C70" s="78" t="s">
        <v>927</v>
      </c>
      <c r="D70" s="68">
        <v>1600</v>
      </c>
      <c r="E70" s="13">
        <f t="shared" si="9"/>
        <v>1600</v>
      </c>
      <c r="F70" s="97">
        <v>1.5</v>
      </c>
      <c r="G70" s="13">
        <f t="shared" si="10"/>
        <v>52.5</v>
      </c>
      <c r="H70" s="13">
        <f t="shared" si="11"/>
        <v>1652.5</v>
      </c>
      <c r="I70" s="78" t="s">
        <v>869</v>
      </c>
    </row>
    <row r="71" spans="1:9" x14ac:dyDescent="0.3">
      <c r="A71" s="16" t="s">
        <v>928</v>
      </c>
      <c r="B71" s="20"/>
      <c r="C71" s="20"/>
      <c r="D71" s="20"/>
      <c r="E71" s="80">
        <f>SUM(E62:E70)</f>
        <v>15900</v>
      </c>
      <c r="F71" s="20"/>
      <c r="G71" s="80">
        <f>SUM(G62:G70)</f>
        <v>2891</v>
      </c>
      <c r="H71" s="80">
        <f>SUM(H62:H70)</f>
        <v>18791</v>
      </c>
      <c r="I71" s="20"/>
    </row>
    <row r="73" spans="1:9" x14ac:dyDescent="0.3">
      <c r="A73" s="4" t="s">
        <v>929</v>
      </c>
      <c r="B73" s="5"/>
      <c r="C73" s="5"/>
      <c r="D73" s="5"/>
      <c r="E73" s="5"/>
      <c r="F73" s="5"/>
      <c r="G73" s="5"/>
      <c r="H73" s="5"/>
      <c r="I73" s="5"/>
    </row>
    <row r="74" spans="1:9" x14ac:dyDescent="0.3">
      <c r="A74" s="11" t="s">
        <v>401</v>
      </c>
      <c r="B74" s="11" t="s">
        <v>402</v>
      </c>
      <c r="C74" s="11" t="s">
        <v>403</v>
      </c>
      <c r="D74" s="11" t="s">
        <v>848</v>
      </c>
      <c r="E74" s="11" t="s">
        <v>407</v>
      </c>
      <c r="F74" s="11" t="s">
        <v>849</v>
      </c>
      <c r="G74" s="11" t="s">
        <v>408</v>
      </c>
      <c r="H74" s="11" t="s">
        <v>409</v>
      </c>
      <c r="I74" s="11" t="s">
        <v>27</v>
      </c>
    </row>
    <row r="75" spans="1:9" x14ac:dyDescent="0.3">
      <c r="A75" s="76" t="s">
        <v>930</v>
      </c>
      <c r="B75" s="100">
        <v>100</v>
      </c>
      <c r="C75" s="78" t="s">
        <v>285</v>
      </c>
      <c r="D75" s="68">
        <v>9</v>
      </c>
      <c r="E75" s="13">
        <f>B75*D75</f>
        <v>900</v>
      </c>
      <c r="F75" s="97">
        <v>0.8</v>
      </c>
      <c r="G75" s="13">
        <f>B75*F75*$B$6</f>
        <v>2800</v>
      </c>
      <c r="H75" s="13">
        <f>E75+G75</f>
        <v>3700</v>
      </c>
      <c r="I75" s="78" t="s">
        <v>931</v>
      </c>
    </row>
    <row r="76" spans="1:9" x14ac:dyDescent="0.3">
      <c r="A76" s="76" t="s">
        <v>932</v>
      </c>
      <c r="B76" s="100">
        <v>60</v>
      </c>
      <c r="C76" s="78" t="s">
        <v>285</v>
      </c>
      <c r="D76" s="68">
        <v>9</v>
      </c>
      <c r="E76" s="13">
        <f>B76*D76</f>
        <v>540</v>
      </c>
      <c r="F76" s="97">
        <v>0.8</v>
      </c>
      <c r="G76" s="13">
        <f>B76*F76*$B$6</f>
        <v>1680</v>
      </c>
      <c r="H76" s="13">
        <f>E76+G76</f>
        <v>2220</v>
      </c>
      <c r="I76" s="78"/>
    </row>
    <row r="77" spans="1:9" x14ac:dyDescent="0.3">
      <c r="A77" s="76" t="s">
        <v>933</v>
      </c>
      <c r="B77" s="96">
        <v>2</v>
      </c>
      <c r="C77" s="78" t="s">
        <v>934</v>
      </c>
      <c r="D77" s="68">
        <v>260</v>
      </c>
      <c r="E77" s="13">
        <f>B77*D77</f>
        <v>520</v>
      </c>
      <c r="F77" s="97">
        <v>2</v>
      </c>
      <c r="G77" s="13">
        <f>B77*F77*$B$6</f>
        <v>140</v>
      </c>
      <c r="H77" s="13">
        <f>E77+G77</f>
        <v>660</v>
      </c>
      <c r="I77" s="78"/>
    </row>
    <row r="78" spans="1:9" x14ac:dyDescent="0.3">
      <c r="A78" s="76" t="s">
        <v>935</v>
      </c>
      <c r="B78" s="96">
        <v>1</v>
      </c>
      <c r="C78" s="78" t="s">
        <v>887</v>
      </c>
      <c r="D78" s="68">
        <v>350</v>
      </c>
      <c r="E78" s="13">
        <f>B78*D78</f>
        <v>350</v>
      </c>
      <c r="F78" s="97">
        <v>6</v>
      </c>
      <c r="G78" s="13">
        <f>B78*F78*$B$6</f>
        <v>210</v>
      </c>
      <c r="H78" s="13">
        <f>E78+G78</f>
        <v>560</v>
      </c>
      <c r="I78" s="78"/>
    </row>
    <row r="79" spans="1:9" x14ac:dyDescent="0.3">
      <c r="A79" s="16" t="s">
        <v>936</v>
      </c>
      <c r="B79" s="20"/>
      <c r="C79" s="20"/>
      <c r="D79" s="20"/>
      <c r="E79" s="80">
        <f>SUM(E75:E78)</f>
        <v>2310</v>
      </c>
      <c r="F79" s="20"/>
      <c r="G79" s="80">
        <f>SUM(G75:G78)</f>
        <v>4830</v>
      </c>
      <c r="H79" s="80">
        <f>SUM(H75:H78)</f>
        <v>7140</v>
      </c>
      <c r="I79" s="20"/>
    </row>
    <row r="81" spans="1:9" x14ac:dyDescent="0.3">
      <c r="A81" s="4" t="s">
        <v>937</v>
      </c>
      <c r="B81" s="5"/>
      <c r="C81" s="5"/>
      <c r="D81" s="5"/>
      <c r="E81" s="5"/>
      <c r="F81" s="5"/>
      <c r="G81" s="5"/>
      <c r="H81" s="5"/>
      <c r="I81" s="5"/>
    </row>
    <row r="82" spans="1:9" x14ac:dyDescent="0.3">
      <c r="A82" s="11" t="s">
        <v>401</v>
      </c>
      <c r="B82" s="11" t="s">
        <v>402</v>
      </c>
      <c r="C82" s="11" t="s">
        <v>403</v>
      </c>
      <c r="D82" s="11" t="s">
        <v>848</v>
      </c>
      <c r="E82" s="11" t="s">
        <v>407</v>
      </c>
      <c r="F82" s="11" t="s">
        <v>849</v>
      </c>
      <c r="G82" s="11" t="s">
        <v>408</v>
      </c>
      <c r="H82" s="11" t="s">
        <v>409</v>
      </c>
      <c r="I82" s="11" t="s">
        <v>27</v>
      </c>
    </row>
    <row r="83" spans="1:9" x14ac:dyDescent="0.3">
      <c r="A83" s="76" t="s">
        <v>938</v>
      </c>
      <c r="B83" s="100">
        <v>682</v>
      </c>
      <c r="C83" s="78" t="s">
        <v>285</v>
      </c>
      <c r="D83" s="68">
        <v>4.5</v>
      </c>
      <c r="E83" s="13">
        <f>B83*D83</f>
        <v>3069</v>
      </c>
      <c r="F83" s="97">
        <v>0.05</v>
      </c>
      <c r="G83" s="13">
        <f>B83*F83*$B$6</f>
        <v>1193.5</v>
      </c>
      <c r="H83" s="13">
        <f>E83+G83</f>
        <v>4262.5</v>
      </c>
      <c r="I83" s="78" t="s">
        <v>939</v>
      </c>
    </row>
    <row r="84" spans="1:9" x14ac:dyDescent="0.3">
      <c r="A84" s="76" t="s">
        <v>940</v>
      </c>
      <c r="B84" s="100">
        <v>287</v>
      </c>
      <c r="C84" s="78" t="s">
        <v>285</v>
      </c>
      <c r="D84" s="68">
        <v>4.5</v>
      </c>
      <c r="E84" s="13">
        <f>B84*D84</f>
        <v>1291.5</v>
      </c>
      <c r="F84" s="97">
        <v>0.05</v>
      </c>
      <c r="G84" s="13">
        <f>B84*F84*$B$6</f>
        <v>502.25000000000006</v>
      </c>
      <c r="H84" s="13">
        <f>E84+G84</f>
        <v>1793.75</v>
      </c>
      <c r="I84" s="78" t="s">
        <v>941</v>
      </c>
    </row>
    <row r="85" spans="1:9" x14ac:dyDescent="0.3">
      <c r="A85" s="76" t="s">
        <v>942</v>
      </c>
      <c r="B85" s="100">
        <v>97</v>
      </c>
      <c r="C85" s="78" t="s">
        <v>285</v>
      </c>
      <c r="D85" s="68">
        <v>8</v>
      </c>
      <c r="E85" s="13">
        <f>B85*D85</f>
        <v>776</v>
      </c>
      <c r="F85" s="97">
        <v>0.5</v>
      </c>
      <c r="G85" s="13">
        <f>B85*F85*$B$6</f>
        <v>1697.5</v>
      </c>
      <c r="H85" s="13">
        <f>E85+G85</f>
        <v>2473.5</v>
      </c>
      <c r="I85" s="78" t="s">
        <v>943</v>
      </c>
    </row>
    <row r="86" spans="1:9" x14ac:dyDescent="0.3">
      <c r="A86" s="76" t="s">
        <v>944</v>
      </c>
      <c r="B86" s="95">
        <f>$B$9</f>
        <v>1066.3</v>
      </c>
      <c r="C86" s="78" t="s">
        <v>285</v>
      </c>
      <c r="D86" s="68">
        <v>0.6</v>
      </c>
      <c r="E86" s="13">
        <f>B86*D86</f>
        <v>639.78</v>
      </c>
      <c r="F86" s="97">
        <v>0.01</v>
      </c>
      <c r="G86" s="13">
        <f>B86*F86*$B$6</f>
        <v>373.20499999999998</v>
      </c>
      <c r="H86" s="13">
        <f>E86+G86</f>
        <v>1012.9849999999999</v>
      </c>
      <c r="I86" s="78" t="s">
        <v>945</v>
      </c>
    </row>
    <row r="87" spans="1:9" x14ac:dyDescent="0.3">
      <c r="A87" s="76" t="s">
        <v>946</v>
      </c>
      <c r="B87" s="100">
        <v>300</v>
      </c>
      <c r="C87" s="78" t="s">
        <v>282</v>
      </c>
      <c r="D87" s="68">
        <v>2.2000000000000002</v>
      </c>
      <c r="E87" s="13">
        <f>B87*D87</f>
        <v>660</v>
      </c>
      <c r="F87" s="97">
        <v>0.06</v>
      </c>
      <c r="G87" s="13">
        <f>B87*F87*$B$6</f>
        <v>630</v>
      </c>
      <c r="H87" s="13">
        <f>E87+G87</f>
        <v>1290</v>
      </c>
      <c r="I87" s="78" t="s">
        <v>947</v>
      </c>
    </row>
    <row r="88" spans="1:9" x14ac:dyDescent="0.3">
      <c r="A88" s="16" t="s">
        <v>948</v>
      </c>
      <c r="B88" s="20"/>
      <c r="C88" s="20"/>
      <c r="D88" s="20"/>
      <c r="E88" s="80">
        <f>SUM(E83:E87)</f>
        <v>6436.28</v>
      </c>
      <c r="F88" s="20"/>
      <c r="G88" s="80">
        <f>SUM(G83:G87)</f>
        <v>4396.4549999999999</v>
      </c>
      <c r="H88" s="80">
        <f>SUM(H83:H87)</f>
        <v>10832.735000000001</v>
      </c>
      <c r="I88" s="20"/>
    </row>
    <row r="90" spans="1:9" x14ac:dyDescent="0.3">
      <c r="A90" s="4" t="s">
        <v>949</v>
      </c>
      <c r="B90" s="5"/>
      <c r="C90" s="5"/>
      <c r="D90" s="5"/>
      <c r="E90" s="5"/>
      <c r="F90" s="5"/>
      <c r="G90" s="5"/>
      <c r="H90" s="5"/>
      <c r="I90" s="5"/>
    </row>
    <row r="91" spans="1:9" x14ac:dyDescent="0.3">
      <c r="A91" s="11" t="s">
        <v>401</v>
      </c>
      <c r="B91" s="11" t="s">
        <v>402</v>
      </c>
      <c r="C91" s="11" t="s">
        <v>403</v>
      </c>
      <c r="D91" s="11" t="s">
        <v>848</v>
      </c>
      <c r="E91" s="11" t="s">
        <v>407</v>
      </c>
      <c r="F91" s="11" t="s">
        <v>849</v>
      </c>
      <c r="G91" s="11" t="s">
        <v>408</v>
      </c>
      <c r="H91" s="11" t="s">
        <v>409</v>
      </c>
      <c r="I91" s="11" t="s">
        <v>27</v>
      </c>
    </row>
    <row r="92" spans="1:9" x14ac:dyDescent="0.3">
      <c r="A92" s="76" t="s">
        <v>950</v>
      </c>
      <c r="B92" s="96">
        <v>1</v>
      </c>
      <c r="C92" s="78" t="s">
        <v>129</v>
      </c>
      <c r="D92" s="68">
        <v>950</v>
      </c>
      <c r="E92" s="13">
        <f t="shared" ref="E92:E99" si="12">B92*D92</f>
        <v>950</v>
      </c>
      <c r="F92" s="97">
        <v>4</v>
      </c>
      <c r="G92" s="13">
        <f t="shared" ref="G92:G99" si="13">B92*F92*$B$6</f>
        <v>140</v>
      </c>
      <c r="H92" s="13">
        <f t="shared" ref="H92:H99" si="14">E92+G92</f>
        <v>1090</v>
      </c>
      <c r="I92" s="78" t="s">
        <v>951</v>
      </c>
    </row>
    <row r="93" spans="1:9" x14ac:dyDescent="0.3">
      <c r="A93" s="76" t="s">
        <v>952</v>
      </c>
      <c r="B93" s="96">
        <v>7</v>
      </c>
      <c r="C93" s="78" t="s">
        <v>129</v>
      </c>
      <c r="D93" s="68">
        <v>680</v>
      </c>
      <c r="E93" s="13">
        <f t="shared" si="12"/>
        <v>4760</v>
      </c>
      <c r="F93" s="97">
        <v>2.5</v>
      </c>
      <c r="G93" s="13">
        <f t="shared" si="13"/>
        <v>612.5</v>
      </c>
      <c r="H93" s="13">
        <f t="shared" si="14"/>
        <v>5372.5</v>
      </c>
      <c r="I93" s="78" t="s">
        <v>953</v>
      </c>
    </row>
    <row r="94" spans="1:9" x14ac:dyDescent="0.3">
      <c r="A94" s="76" t="s">
        <v>954</v>
      </c>
      <c r="B94" s="96">
        <v>4</v>
      </c>
      <c r="C94" s="78" t="s">
        <v>129</v>
      </c>
      <c r="D94" s="68">
        <v>420</v>
      </c>
      <c r="E94" s="13">
        <f t="shared" si="12"/>
        <v>1680</v>
      </c>
      <c r="F94" s="97">
        <v>2</v>
      </c>
      <c r="G94" s="13">
        <f t="shared" si="13"/>
        <v>280</v>
      </c>
      <c r="H94" s="13">
        <f t="shared" si="14"/>
        <v>1960</v>
      </c>
      <c r="I94" s="78" t="s">
        <v>955</v>
      </c>
    </row>
    <row r="95" spans="1:9" x14ac:dyDescent="0.3">
      <c r="A95" s="76" t="s">
        <v>956</v>
      </c>
      <c r="B95" s="96">
        <v>1</v>
      </c>
      <c r="C95" s="78" t="s">
        <v>129</v>
      </c>
      <c r="D95" s="68">
        <v>240</v>
      </c>
      <c r="E95" s="13">
        <f t="shared" si="12"/>
        <v>240</v>
      </c>
      <c r="F95" s="97">
        <v>1.5</v>
      </c>
      <c r="G95" s="13">
        <f t="shared" si="13"/>
        <v>52.5</v>
      </c>
      <c r="H95" s="13">
        <f t="shared" si="14"/>
        <v>292.5</v>
      </c>
      <c r="I95" s="78" t="s">
        <v>957</v>
      </c>
    </row>
    <row r="96" spans="1:9" x14ac:dyDescent="0.3">
      <c r="A96" s="76" t="s">
        <v>958</v>
      </c>
      <c r="B96" s="98">
        <f>10*$B$8</f>
        <v>10</v>
      </c>
      <c r="C96" s="78" t="s">
        <v>129</v>
      </c>
      <c r="D96" s="68">
        <v>320</v>
      </c>
      <c r="E96" s="13">
        <f t="shared" si="12"/>
        <v>3200</v>
      </c>
      <c r="F96" s="97">
        <v>1.5</v>
      </c>
      <c r="G96" s="13">
        <f t="shared" si="13"/>
        <v>525</v>
      </c>
      <c r="H96" s="13">
        <f t="shared" si="14"/>
        <v>3725</v>
      </c>
      <c r="I96" s="78" t="s">
        <v>959</v>
      </c>
    </row>
    <row r="97" spans="1:9" x14ac:dyDescent="0.3">
      <c r="A97" s="76" t="s">
        <v>960</v>
      </c>
      <c r="B97" s="96">
        <v>5</v>
      </c>
      <c r="C97" s="78" t="s">
        <v>129</v>
      </c>
      <c r="D97" s="68">
        <v>260</v>
      </c>
      <c r="E97" s="13">
        <f t="shared" si="12"/>
        <v>1300</v>
      </c>
      <c r="F97" s="97">
        <v>2</v>
      </c>
      <c r="G97" s="13">
        <f t="shared" si="13"/>
        <v>350</v>
      </c>
      <c r="H97" s="13">
        <f t="shared" si="14"/>
        <v>1650</v>
      </c>
      <c r="I97" s="78" t="s">
        <v>961</v>
      </c>
    </row>
    <row r="98" spans="1:9" x14ac:dyDescent="0.3">
      <c r="A98" s="76" t="s">
        <v>962</v>
      </c>
      <c r="B98" s="96">
        <v>1</v>
      </c>
      <c r="C98" s="78" t="s">
        <v>129</v>
      </c>
      <c r="D98" s="68">
        <v>190</v>
      </c>
      <c r="E98" s="13">
        <f t="shared" si="12"/>
        <v>190</v>
      </c>
      <c r="F98" s="97">
        <v>1.5</v>
      </c>
      <c r="G98" s="13">
        <f t="shared" si="13"/>
        <v>52.5</v>
      </c>
      <c r="H98" s="13">
        <f t="shared" si="14"/>
        <v>242.5</v>
      </c>
      <c r="I98" s="78"/>
    </row>
    <row r="99" spans="1:9" x14ac:dyDescent="0.3">
      <c r="A99" s="76" t="s">
        <v>963</v>
      </c>
      <c r="B99" s="96">
        <v>13</v>
      </c>
      <c r="C99" s="78" t="s">
        <v>964</v>
      </c>
      <c r="D99" s="68">
        <v>60</v>
      </c>
      <c r="E99" s="13">
        <f t="shared" si="12"/>
        <v>780</v>
      </c>
      <c r="F99" s="97">
        <v>1.5</v>
      </c>
      <c r="G99" s="13">
        <f t="shared" si="13"/>
        <v>682.5</v>
      </c>
      <c r="H99" s="13">
        <f t="shared" si="14"/>
        <v>1462.5</v>
      </c>
      <c r="I99" s="78"/>
    </row>
    <row r="100" spans="1:9" x14ac:dyDescent="0.3">
      <c r="A100" s="16" t="s">
        <v>965</v>
      </c>
      <c r="B100" s="20"/>
      <c r="C100" s="20"/>
      <c r="D100" s="20"/>
      <c r="E100" s="80">
        <f>SUM(E92:E99)</f>
        <v>13100</v>
      </c>
      <c r="F100" s="20"/>
      <c r="G100" s="80">
        <f>SUM(G92:G99)</f>
        <v>2695</v>
      </c>
      <c r="H100" s="80">
        <f>SUM(H92:H99)</f>
        <v>15795</v>
      </c>
      <c r="I100" s="20"/>
    </row>
    <row r="102" spans="1:9" x14ac:dyDescent="0.3">
      <c r="A102" s="4" t="s">
        <v>966</v>
      </c>
      <c r="B102" s="5"/>
      <c r="C102" s="5"/>
      <c r="D102" s="5"/>
      <c r="E102" s="5"/>
      <c r="F102" s="5"/>
      <c r="G102" s="5"/>
      <c r="H102" s="5"/>
      <c r="I102" s="5"/>
    </row>
    <row r="103" spans="1:9" x14ac:dyDescent="0.3">
      <c r="A103" s="11" t="s">
        <v>401</v>
      </c>
      <c r="B103" s="11" t="s">
        <v>402</v>
      </c>
      <c r="C103" s="11" t="s">
        <v>403</v>
      </c>
      <c r="D103" s="11" t="s">
        <v>848</v>
      </c>
      <c r="E103" s="11" t="s">
        <v>407</v>
      </c>
      <c r="F103" s="11" t="s">
        <v>849</v>
      </c>
      <c r="G103" s="11" t="s">
        <v>408</v>
      </c>
      <c r="H103" s="11" t="s">
        <v>409</v>
      </c>
      <c r="I103" s="11" t="s">
        <v>27</v>
      </c>
    </row>
    <row r="104" spans="1:9" x14ac:dyDescent="0.3">
      <c r="A104" s="76" t="s">
        <v>967</v>
      </c>
      <c r="B104" s="95">
        <f>$B$10</f>
        <v>1181.8333333333335</v>
      </c>
      <c r="C104" s="78" t="s">
        <v>285</v>
      </c>
      <c r="D104" s="68">
        <v>0.9</v>
      </c>
      <c r="E104" s="13">
        <f>B104*D104</f>
        <v>1063.6500000000001</v>
      </c>
      <c r="F104" s="97">
        <v>0.03</v>
      </c>
      <c r="G104" s="13">
        <f>B104*F104*$B$6</f>
        <v>1240.9250000000002</v>
      </c>
      <c r="H104" s="13">
        <f>E104+G104</f>
        <v>2304.5750000000003</v>
      </c>
      <c r="I104" s="78" t="s">
        <v>968</v>
      </c>
    </row>
    <row r="105" spans="1:9" x14ac:dyDescent="0.3">
      <c r="A105" s="76" t="s">
        <v>969</v>
      </c>
      <c r="B105" s="95">
        <f>$B$9</f>
        <v>1066.3</v>
      </c>
      <c r="C105" s="78" t="s">
        <v>285</v>
      </c>
      <c r="D105" s="68">
        <v>0.5</v>
      </c>
      <c r="E105" s="13">
        <f>B105*D105</f>
        <v>533.15</v>
      </c>
      <c r="F105" s="97">
        <v>0.02</v>
      </c>
      <c r="G105" s="13">
        <f>B105*F105*$B$6</f>
        <v>746.41</v>
      </c>
      <c r="H105" s="13">
        <f>E105+G105</f>
        <v>1279.56</v>
      </c>
      <c r="I105" s="78" t="s">
        <v>970</v>
      </c>
    </row>
    <row r="106" spans="1:9" x14ac:dyDescent="0.3">
      <c r="A106" s="76" t="s">
        <v>971</v>
      </c>
      <c r="B106" s="100">
        <v>60</v>
      </c>
      <c r="C106" s="78" t="s">
        <v>282</v>
      </c>
      <c r="D106" s="68">
        <v>32</v>
      </c>
      <c r="E106" s="13">
        <f>B106*D106</f>
        <v>1920</v>
      </c>
      <c r="F106" s="97">
        <v>1.2</v>
      </c>
      <c r="G106" s="13">
        <f>B106*F106*$B$6</f>
        <v>2520</v>
      </c>
      <c r="H106" s="13">
        <f>E106+G106</f>
        <v>4440</v>
      </c>
      <c r="I106" s="78" t="s">
        <v>972</v>
      </c>
    </row>
    <row r="107" spans="1:9" x14ac:dyDescent="0.3">
      <c r="A107" s="76" t="s">
        <v>973</v>
      </c>
      <c r="B107" s="96">
        <v>2</v>
      </c>
      <c r="C107" s="78" t="s">
        <v>974</v>
      </c>
      <c r="D107" s="68">
        <v>220</v>
      </c>
      <c r="E107" s="13">
        <f>B107*D107</f>
        <v>440</v>
      </c>
      <c r="F107" s="97">
        <v>2</v>
      </c>
      <c r="G107" s="13">
        <f>B107*F107*$B$6</f>
        <v>140</v>
      </c>
      <c r="H107" s="13">
        <f>E107+G107</f>
        <v>580</v>
      </c>
      <c r="I107" s="78" t="s">
        <v>975</v>
      </c>
    </row>
    <row r="108" spans="1:9" x14ac:dyDescent="0.3">
      <c r="A108" s="16" t="s">
        <v>976</v>
      </c>
      <c r="B108" s="20"/>
      <c r="C108" s="20"/>
      <c r="D108" s="20"/>
      <c r="E108" s="80">
        <f>SUM(E104:E107)</f>
        <v>3956.8</v>
      </c>
      <c r="F108" s="20"/>
      <c r="G108" s="80">
        <f>SUM(G104:G107)</f>
        <v>4647.335</v>
      </c>
      <c r="H108" s="80">
        <f>SUM(H104:H107)</f>
        <v>8604.1350000000002</v>
      </c>
      <c r="I108" s="20"/>
    </row>
    <row r="110" spans="1:9" x14ac:dyDescent="0.3">
      <c r="A110" s="4" t="s">
        <v>977</v>
      </c>
      <c r="B110" s="5"/>
      <c r="C110" s="5"/>
      <c r="D110" s="5"/>
      <c r="E110" s="5"/>
      <c r="F110" s="5"/>
      <c r="G110" s="5"/>
      <c r="H110" s="5"/>
      <c r="I110" s="5"/>
    </row>
    <row r="111" spans="1:9" x14ac:dyDescent="0.3">
      <c r="A111" s="11" t="s">
        <v>401</v>
      </c>
      <c r="B111" s="11" t="s">
        <v>402</v>
      </c>
      <c r="C111" s="11" t="s">
        <v>403</v>
      </c>
      <c r="D111" s="11" t="s">
        <v>848</v>
      </c>
      <c r="E111" s="11" t="s">
        <v>407</v>
      </c>
      <c r="F111" s="11" t="s">
        <v>849</v>
      </c>
      <c r="G111" s="11" t="s">
        <v>408</v>
      </c>
      <c r="H111" s="11" t="s">
        <v>409</v>
      </c>
      <c r="I111" s="11" t="s">
        <v>27</v>
      </c>
    </row>
    <row r="112" spans="1:9" x14ac:dyDescent="0.3">
      <c r="A112" s="76" t="s">
        <v>978</v>
      </c>
      <c r="B112" s="95">
        <f>$B$10</f>
        <v>1181.8333333333335</v>
      </c>
      <c r="C112" s="78" t="s">
        <v>285</v>
      </c>
      <c r="D112" s="68">
        <v>0</v>
      </c>
      <c r="E112" s="13">
        <f t="shared" ref="E112:E118" si="15">B112*D112</f>
        <v>0</v>
      </c>
      <c r="F112" s="97">
        <v>0</v>
      </c>
      <c r="G112" s="13">
        <f>B112*F112*$B$6</f>
        <v>0</v>
      </c>
      <c r="H112" s="13">
        <f t="shared" ref="H112:H118" si="16">E112+G112</f>
        <v>0</v>
      </c>
      <c r="I112" s="78" t="s">
        <v>979</v>
      </c>
    </row>
    <row r="113" spans="1:9" x14ac:dyDescent="0.3">
      <c r="A113" s="76" t="s">
        <v>980</v>
      </c>
      <c r="B113" s="100">
        <v>42</v>
      </c>
      <c r="C113" s="78" t="s">
        <v>282</v>
      </c>
      <c r="D113" s="68">
        <v>9</v>
      </c>
      <c r="E113" s="13">
        <f t="shared" si="15"/>
        <v>378</v>
      </c>
      <c r="F113" s="97">
        <v>0.2</v>
      </c>
      <c r="G113" s="13">
        <f>B113*F113*$B$6</f>
        <v>294</v>
      </c>
      <c r="H113" s="13">
        <f t="shared" si="16"/>
        <v>672</v>
      </c>
      <c r="I113" s="78" t="s">
        <v>981</v>
      </c>
    </row>
    <row r="114" spans="1:9" x14ac:dyDescent="0.3">
      <c r="A114" s="76" t="s">
        <v>982</v>
      </c>
      <c r="B114" s="96">
        <v>1</v>
      </c>
      <c r="C114" s="78" t="s">
        <v>129</v>
      </c>
      <c r="D114" s="68">
        <v>400</v>
      </c>
      <c r="E114" s="13">
        <f t="shared" si="15"/>
        <v>400</v>
      </c>
      <c r="F114" s="97">
        <v>10</v>
      </c>
      <c r="G114" s="13">
        <f>B114*F114*$B$6</f>
        <v>350</v>
      </c>
      <c r="H114" s="13">
        <f t="shared" si="16"/>
        <v>750</v>
      </c>
      <c r="I114" s="78"/>
    </row>
    <row r="115" spans="1:9" x14ac:dyDescent="0.3">
      <c r="A115" s="76" t="s">
        <v>983</v>
      </c>
      <c r="B115" s="96">
        <v>1</v>
      </c>
      <c r="C115" s="78" t="s">
        <v>887</v>
      </c>
      <c r="D115" s="68">
        <v>800</v>
      </c>
      <c r="E115" s="13">
        <f t="shared" si="15"/>
        <v>800</v>
      </c>
      <c r="F115" s="99">
        <v>3200</v>
      </c>
      <c r="G115" s="13">
        <f>B115*F115</f>
        <v>3200</v>
      </c>
      <c r="H115" s="13">
        <f t="shared" si="16"/>
        <v>4000</v>
      </c>
      <c r="I115" s="78" t="s">
        <v>984</v>
      </c>
    </row>
    <row r="116" spans="1:9" x14ac:dyDescent="0.3">
      <c r="A116" s="76" t="s">
        <v>985</v>
      </c>
      <c r="B116" s="96">
        <v>1</v>
      </c>
      <c r="C116" s="78" t="s">
        <v>887</v>
      </c>
      <c r="D116" s="68">
        <v>4500</v>
      </c>
      <c r="E116" s="13">
        <f t="shared" si="15"/>
        <v>4500</v>
      </c>
      <c r="F116" s="99">
        <v>3500</v>
      </c>
      <c r="G116" s="13">
        <f>B116*F116</f>
        <v>3500</v>
      </c>
      <c r="H116" s="13">
        <f t="shared" si="16"/>
        <v>8000</v>
      </c>
      <c r="I116" s="78" t="s">
        <v>986</v>
      </c>
    </row>
    <row r="117" spans="1:9" x14ac:dyDescent="0.3">
      <c r="A117" s="76" t="s">
        <v>987</v>
      </c>
      <c r="B117" s="96">
        <v>4</v>
      </c>
      <c r="C117" s="78" t="s">
        <v>988</v>
      </c>
      <c r="D117" s="68">
        <v>450</v>
      </c>
      <c r="E117" s="13">
        <f t="shared" si="15"/>
        <v>1800</v>
      </c>
      <c r="F117" s="97">
        <v>0</v>
      </c>
      <c r="G117" s="13">
        <f>B117*F117*$B$6</f>
        <v>0</v>
      </c>
      <c r="H117" s="13">
        <f t="shared" si="16"/>
        <v>1800</v>
      </c>
      <c r="I117" s="78" t="s">
        <v>989</v>
      </c>
    </row>
    <row r="118" spans="1:9" x14ac:dyDescent="0.3">
      <c r="A118" s="76" t="s">
        <v>990</v>
      </c>
      <c r="B118" s="96">
        <v>1</v>
      </c>
      <c r="C118" s="78" t="s">
        <v>887</v>
      </c>
      <c r="D118" s="68">
        <v>1200</v>
      </c>
      <c r="E118" s="13">
        <f t="shared" si="15"/>
        <v>1200</v>
      </c>
      <c r="F118" s="97">
        <v>16</v>
      </c>
      <c r="G118" s="13">
        <f>B118*F118*$B$6</f>
        <v>560</v>
      </c>
      <c r="H118" s="13">
        <f t="shared" si="16"/>
        <v>1760</v>
      </c>
      <c r="I118" s="78"/>
    </row>
    <row r="119" spans="1:9" x14ac:dyDescent="0.3">
      <c r="A119" s="16" t="s">
        <v>991</v>
      </c>
      <c r="B119" s="20"/>
      <c r="C119" s="20"/>
      <c r="D119" s="20"/>
      <c r="E119" s="80">
        <f>SUM(E112:E118)</f>
        <v>9078</v>
      </c>
      <c r="F119" s="20"/>
      <c r="G119" s="80">
        <f>SUM(G112:G118)</f>
        <v>7904</v>
      </c>
      <c r="H119" s="80">
        <f>SUM(H112:H118)</f>
        <v>16982</v>
      </c>
      <c r="I119" s="20"/>
    </row>
    <row r="121" spans="1:9" x14ac:dyDescent="0.3">
      <c r="A121" s="4" t="s">
        <v>992</v>
      </c>
      <c r="B121" s="5"/>
      <c r="C121" s="5"/>
      <c r="D121" s="5"/>
      <c r="E121" s="5"/>
      <c r="F121" s="5"/>
      <c r="G121" s="5"/>
      <c r="H121" s="5"/>
      <c r="I121" s="5"/>
    </row>
    <row r="122" spans="1:9" x14ac:dyDescent="0.3">
      <c r="A122" s="11" t="s">
        <v>401</v>
      </c>
      <c r="B122" s="11" t="s">
        <v>402</v>
      </c>
      <c r="C122" s="11" t="s">
        <v>403</v>
      </c>
      <c r="D122" s="11" t="s">
        <v>848</v>
      </c>
      <c r="E122" s="11" t="s">
        <v>407</v>
      </c>
      <c r="F122" s="11" t="s">
        <v>849</v>
      </c>
      <c r="G122" s="11" t="s">
        <v>408</v>
      </c>
      <c r="H122" s="11" t="s">
        <v>409</v>
      </c>
      <c r="I122" s="11" t="s">
        <v>27</v>
      </c>
    </row>
    <row r="123" spans="1:9" x14ac:dyDescent="0.3">
      <c r="A123" s="76" t="s">
        <v>993</v>
      </c>
      <c r="B123" s="96">
        <v>1</v>
      </c>
      <c r="C123" s="78" t="s">
        <v>887</v>
      </c>
      <c r="D123" s="68">
        <v>6500</v>
      </c>
      <c r="E123" s="13">
        <f>B123*D123</f>
        <v>6500</v>
      </c>
      <c r="F123" s="97">
        <v>0</v>
      </c>
      <c r="G123" s="13">
        <f>B123*F123*$B$6</f>
        <v>0</v>
      </c>
      <c r="H123" s="13">
        <f>E123+G123</f>
        <v>6500</v>
      </c>
      <c r="I123" s="78" t="s">
        <v>994</v>
      </c>
    </row>
    <row r="124" spans="1:9" x14ac:dyDescent="0.3">
      <c r="A124" s="76" t="s">
        <v>995</v>
      </c>
      <c r="B124" s="96">
        <v>1</v>
      </c>
      <c r="C124" s="78" t="s">
        <v>887</v>
      </c>
      <c r="D124" s="68">
        <v>2500</v>
      </c>
      <c r="E124" s="13">
        <f>B124*D124</f>
        <v>2500</v>
      </c>
      <c r="F124" s="97">
        <v>0</v>
      </c>
      <c r="G124" s="13">
        <f>B124*F124*$B$6</f>
        <v>0</v>
      </c>
      <c r="H124" s="13">
        <f>E124+G124</f>
        <v>2500</v>
      </c>
      <c r="I124" s="78" t="s">
        <v>996</v>
      </c>
    </row>
    <row r="125" spans="1:9" x14ac:dyDescent="0.3">
      <c r="A125" s="76" t="s">
        <v>997</v>
      </c>
      <c r="B125" s="96">
        <v>1</v>
      </c>
      <c r="C125" s="78" t="s">
        <v>887</v>
      </c>
      <c r="D125" s="68">
        <v>1200</v>
      </c>
      <c r="E125" s="13">
        <f>B125*D125</f>
        <v>1200</v>
      </c>
      <c r="F125" s="97">
        <v>0</v>
      </c>
      <c r="G125" s="13">
        <f>B125*F125*$B$6</f>
        <v>0</v>
      </c>
      <c r="H125" s="13">
        <f>E125+G125</f>
        <v>1200</v>
      </c>
      <c r="I125" s="78"/>
    </row>
    <row r="126" spans="1:9" x14ac:dyDescent="0.3">
      <c r="A126" s="76" t="s">
        <v>998</v>
      </c>
      <c r="B126" s="96">
        <v>1</v>
      </c>
      <c r="C126" s="78" t="s">
        <v>887</v>
      </c>
      <c r="D126" s="68">
        <v>0</v>
      </c>
      <c r="E126" s="13">
        <f>B126*D126</f>
        <v>0</v>
      </c>
      <c r="F126" s="97">
        <v>120</v>
      </c>
      <c r="G126" s="13">
        <f>B126*F126*$B$6</f>
        <v>4200</v>
      </c>
      <c r="H126" s="13">
        <f>E126+G126</f>
        <v>4200</v>
      </c>
      <c r="I126" s="78" t="s">
        <v>999</v>
      </c>
    </row>
    <row r="127" spans="1:9" x14ac:dyDescent="0.3">
      <c r="A127" s="16" t="s">
        <v>1000</v>
      </c>
      <c r="B127" s="20"/>
      <c r="C127" s="20"/>
      <c r="D127" s="20"/>
      <c r="E127" s="80">
        <f>SUM(E123:E126)</f>
        <v>10200</v>
      </c>
      <c r="F127" s="20"/>
      <c r="G127" s="80">
        <f>SUM(G123:G126)</f>
        <v>4200</v>
      </c>
      <c r="H127" s="80">
        <f>SUM(H123:H126)</f>
        <v>14400</v>
      </c>
      <c r="I127" s="20"/>
    </row>
    <row r="129" spans="1:9" x14ac:dyDescent="0.3">
      <c r="A129" s="82" t="s">
        <v>1001</v>
      </c>
      <c r="B129" s="83"/>
      <c r="C129" s="83"/>
      <c r="D129" s="83"/>
      <c r="E129" s="84">
        <f>$E$26+$E$38+$E$48+$E$58+$E$71+$E$79+$E$88+$E$100+$E$108+$E$119+$E$127</f>
        <v>82871.08</v>
      </c>
      <c r="F129" s="83"/>
      <c r="G129" s="84">
        <f>$G$26+$G$38+$G$48+$G$58+$G$71+$G$79+$G$88+$G$100+$G$108+$G$119+$G$127</f>
        <v>41357.29</v>
      </c>
      <c r="H129" s="84">
        <f>$H$26+$H$38+$H$48+$H$58+$H$71+$H$79+$H$88+$H$100+$H$108+$H$119+$H$127</f>
        <v>124228.37</v>
      </c>
      <c r="I129" s="83"/>
    </row>
    <row r="130" spans="1:9" x14ac:dyDescent="0.3">
      <c r="A130" s="2" t="s">
        <v>1002</v>
      </c>
    </row>
    <row r="131" spans="1:9" x14ac:dyDescent="0.3">
      <c r="A131" s="2" t="s">
        <v>1003</v>
      </c>
    </row>
  </sheetData>
  <mergeCells count="1">
    <mergeCell ref="A2:J2"/>
  </mergeCells>
  <dataValidations count="2">
    <dataValidation type="list" sqref="B51" xr:uid="{00000000-0002-0000-0400-000000000000}">
      <formula1>"A,B,C"</formula1>
    </dataValidation>
    <dataValidation type="list" sqref="B52" xr:uid="{00000000-0002-0000-0400-000001000000}">
      <formula1>"yes,no"</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1"/>
  <sheetViews>
    <sheetView workbookViewId="0"/>
  </sheetViews>
  <sheetFormatPr defaultRowHeight="14.4" x14ac:dyDescent="0.3"/>
  <cols>
    <col min="1" max="1" width="46" customWidth="1"/>
    <col min="2" max="2" width="16" customWidth="1"/>
    <col min="3" max="3" width="10" customWidth="1"/>
    <col min="4" max="4" width="16" customWidth="1"/>
    <col min="5" max="5" width="12" customWidth="1"/>
    <col min="6" max="6" width="70" customWidth="1"/>
  </cols>
  <sheetData>
    <row r="1" spans="1:6" ht="17.399999999999999" x14ac:dyDescent="0.3">
      <c r="A1" s="53" t="s">
        <v>1004</v>
      </c>
    </row>
    <row r="2" spans="1:6" x14ac:dyDescent="0.3">
      <c r="A2" s="2" t="s">
        <v>1005</v>
      </c>
    </row>
    <row r="3" spans="1:6" x14ac:dyDescent="0.3">
      <c r="A3" s="3" t="s">
        <v>111</v>
      </c>
    </row>
    <row r="5" spans="1:6" x14ac:dyDescent="0.3">
      <c r="A5" s="11" t="s">
        <v>401</v>
      </c>
      <c r="B5" s="11" t="s">
        <v>1006</v>
      </c>
      <c r="C5" s="11" t="s">
        <v>403</v>
      </c>
      <c r="D5" s="11" t="s">
        <v>1007</v>
      </c>
      <c r="E5" s="11" t="s">
        <v>1008</v>
      </c>
      <c r="F5" s="11" t="s">
        <v>535</v>
      </c>
    </row>
    <row r="6" spans="1:6" x14ac:dyDescent="0.3">
      <c r="A6" s="21" t="s">
        <v>75</v>
      </c>
      <c r="B6" s="21">
        <v>34</v>
      </c>
      <c r="C6" s="2" t="s">
        <v>129</v>
      </c>
      <c r="D6" s="101">
        <f>Walls!$B$106</f>
        <v>34</v>
      </c>
      <c r="E6" s="102">
        <f>D6-B6</f>
        <v>0</v>
      </c>
      <c r="F6" s="2" t="s">
        <v>1009</v>
      </c>
    </row>
    <row r="7" spans="1:6" x14ac:dyDescent="0.3">
      <c r="A7" s="21" t="s">
        <v>1010</v>
      </c>
      <c r="B7" s="21" t="s">
        <v>1011</v>
      </c>
      <c r="C7" s="2" t="s">
        <v>129</v>
      </c>
      <c r="F7" s="2" t="s">
        <v>1012</v>
      </c>
    </row>
    <row r="8" spans="1:6" x14ac:dyDescent="0.3">
      <c r="A8" s="21" t="s">
        <v>1013</v>
      </c>
      <c r="B8" s="21">
        <v>10</v>
      </c>
      <c r="C8" s="2" t="s">
        <v>129</v>
      </c>
      <c r="D8" s="101">
        <f>Walls!$B$43</f>
        <v>10</v>
      </c>
      <c r="E8" s="102">
        <f>D8-B8</f>
        <v>0</v>
      </c>
      <c r="F8" s="2" t="s">
        <v>1014</v>
      </c>
    </row>
    <row r="9" spans="1:6" x14ac:dyDescent="0.3">
      <c r="A9" s="21" t="s">
        <v>1015</v>
      </c>
      <c r="B9" s="21" t="s">
        <v>1016</v>
      </c>
      <c r="C9" s="2" t="s">
        <v>134</v>
      </c>
      <c r="F9" s="2" t="s">
        <v>1017</v>
      </c>
    </row>
    <row r="10" spans="1:6" x14ac:dyDescent="0.3">
      <c r="A10" s="21" t="s">
        <v>1018</v>
      </c>
      <c r="B10" s="21">
        <v>150</v>
      </c>
      <c r="C10" s="2" t="s">
        <v>134</v>
      </c>
      <c r="D10" s="101">
        <f>Walls!$B$19</f>
        <v>150</v>
      </c>
      <c r="E10" s="102">
        <f t="shared" ref="E10:E48" si="0">D10-B10</f>
        <v>0</v>
      </c>
      <c r="F10" s="2" t="s">
        <v>1019</v>
      </c>
    </row>
    <row r="11" spans="1:6" x14ac:dyDescent="0.3">
      <c r="A11" s="21" t="s">
        <v>278</v>
      </c>
      <c r="B11" s="21">
        <v>480</v>
      </c>
      <c r="C11" s="2" t="s">
        <v>134</v>
      </c>
      <c r="D11" s="101">
        <f>Walls!$B$116</f>
        <v>480</v>
      </c>
      <c r="E11" s="102">
        <f t="shared" si="0"/>
        <v>0</v>
      </c>
      <c r="F11" s="2"/>
    </row>
    <row r="12" spans="1:6" x14ac:dyDescent="0.3">
      <c r="A12" s="21" t="s">
        <v>279</v>
      </c>
      <c r="B12" s="21">
        <v>359</v>
      </c>
      <c r="C12" s="2" t="s">
        <v>134</v>
      </c>
      <c r="D12" s="101">
        <f>Walls!$B$117</f>
        <v>359</v>
      </c>
      <c r="E12" s="102">
        <f t="shared" si="0"/>
        <v>0</v>
      </c>
      <c r="F12" s="2" t="s">
        <v>1020</v>
      </c>
    </row>
    <row r="13" spans="1:6" x14ac:dyDescent="0.3">
      <c r="A13" s="21" t="s">
        <v>274</v>
      </c>
      <c r="B13" s="21">
        <v>11.5</v>
      </c>
      <c r="C13" s="2" t="s">
        <v>134</v>
      </c>
      <c r="D13" s="101">
        <f>Walls!$B$114</f>
        <v>11.5</v>
      </c>
      <c r="E13" s="102">
        <f t="shared" si="0"/>
        <v>0</v>
      </c>
      <c r="F13" s="2" t="s">
        <v>1021</v>
      </c>
    </row>
    <row r="14" spans="1:6" x14ac:dyDescent="0.3">
      <c r="A14" s="21" t="s">
        <v>287</v>
      </c>
      <c r="B14" s="21">
        <v>1460</v>
      </c>
      <c r="C14" s="2" t="s">
        <v>285</v>
      </c>
      <c r="D14" s="101">
        <f>Walls!$B$121</f>
        <v>1460</v>
      </c>
      <c r="E14" s="102">
        <f t="shared" si="0"/>
        <v>0</v>
      </c>
      <c r="F14" s="2" t="s">
        <v>1022</v>
      </c>
    </row>
    <row r="15" spans="1:6" x14ac:dyDescent="0.3">
      <c r="A15" s="21" t="s">
        <v>1023</v>
      </c>
      <c r="B15" s="21">
        <v>278.16699999999997</v>
      </c>
      <c r="C15" s="2" t="s">
        <v>285</v>
      </c>
      <c r="D15" s="101">
        <f>Walls!$B$122</f>
        <v>278.16666666666663</v>
      </c>
      <c r="E15" s="102">
        <f t="shared" si="0"/>
        <v>-3.3333333334439885E-4</v>
      </c>
      <c r="F15" s="2" t="s">
        <v>1024</v>
      </c>
    </row>
    <row r="16" spans="1:6" x14ac:dyDescent="0.3">
      <c r="A16" s="21" t="s">
        <v>1025</v>
      </c>
      <c r="B16" s="21">
        <v>1181.8330000000001</v>
      </c>
      <c r="C16" s="2" t="s">
        <v>285</v>
      </c>
      <c r="D16" s="101">
        <f>Walls!$B$123</f>
        <v>1181.8333333333335</v>
      </c>
      <c r="E16" s="102">
        <f t="shared" si="0"/>
        <v>3.3333333340124227E-4</v>
      </c>
      <c r="F16" s="2"/>
    </row>
    <row r="17" spans="1:6" x14ac:dyDescent="0.3">
      <c r="A17" s="21" t="s">
        <v>1026</v>
      </c>
      <c r="B17" s="21">
        <v>18.238</v>
      </c>
      <c r="C17" s="2" t="s">
        <v>379</v>
      </c>
      <c r="D17" s="101">
        <f>Walls!$B$299</f>
        <v>18.238168724279838</v>
      </c>
      <c r="E17" s="102">
        <f t="shared" si="0"/>
        <v>1.6872427983827265E-4</v>
      </c>
      <c r="F17" s="2" t="s">
        <v>1027</v>
      </c>
    </row>
    <row r="18" spans="1:6" x14ac:dyDescent="0.3">
      <c r="A18" s="21" t="s">
        <v>1028</v>
      </c>
      <c r="B18" s="21">
        <v>7.2949999999999999</v>
      </c>
      <c r="C18" s="2" t="s">
        <v>379</v>
      </c>
      <c r="D18" s="101">
        <f>Walls!$B$300</f>
        <v>7.2952674897119358</v>
      </c>
      <c r="E18" s="102">
        <f t="shared" si="0"/>
        <v>2.6748971193590876E-4</v>
      </c>
      <c r="F18" s="2" t="s">
        <v>1029</v>
      </c>
    </row>
    <row r="19" spans="1:6" x14ac:dyDescent="0.3">
      <c r="A19" s="21" t="s">
        <v>1030</v>
      </c>
      <c r="B19" s="21">
        <v>16.414000000000001</v>
      </c>
      <c r="C19" s="2" t="s">
        <v>379</v>
      </c>
      <c r="D19" s="101">
        <f>Walls!$B$301</f>
        <v>16.414351851851855</v>
      </c>
      <c r="E19" s="102">
        <f t="shared" si="0"/>
        <v>3.5185185185326873E-4</v>
      </c>
      <c r="F19" s="2" t="s">
        <v>1031</v>
      </c>
    </row>
    <row r="20" spans="1:6" x14ac:dyDescent="0.3">
      <c r="A20" s="21" t="s">
        <v>1032</v>
      </c>
      <c r="B20" s="21">
        <v>41.948</v>
      </c>
      <c r="C20" s="2" t="s">
        <v>379</v>
      </c>
      <c r="D20" s="101">
        <f>Walls!$B$302</f>
        <v>41.947788065843625</v>
      </c>
      <c r="E20" s="102">
        <f t="shared" si="0"/>
        <v>-2.1193415637554835E-4</v>
      </c>
      <c r="F20" s="2" t="s">
        <v>1033</v>
      </c>
    </row>
    <row r="21" spans="1:6" x14ac:dyDescent="0.3">
      <c r="A21" s="21" t="s">
        <v>1034</v>
      </c>
      <c r="B21" s="21">
        <v>106</v>
      </c>
      <c r="C21" s="2" t="s">
        <v>129</v>
      </c>
      <c r="D21" s="101">
        <f>Walls!$B$278</f>
        <v>106</v>
      </c>
      <c r="E21" s="102">
        <f t="shared" si="0"/>
        <v>0</v>
      </c>
      <c r="F21" s="2" t="s">
        <v>1035</v>
      </c>
    </row>
    <row r="22" spans="1:6" x14ac:dyDescent="0.3">
      <c r="A22" s="21" t="s">
        <v>1036</v>
      </c>
      <c r="B22" s="21">
        <v>32</v>
      </c>
      <c r="C22" s="2" t="s">
        <v>129</v>
      </c>
      <c r="D22" s="101">
        <f>Walls!$B$279</f>
        <v>32</v>
      </c>
      <c r="E22" s="102">
        <f t="shared" si="0"/>
        <v>0</v>
      </c>
      <c r="F22" s="2" t="s">
        <v>1037</v>
      </c>
    </row>
    <row r="23" spans="1:6" x14ac:dyDescent="0.3">
      <c r="A23" s="21" t="s">
        <v>352</v>
      </c>
      <c r="B23" s="21">
        <v>74</v>
      </c>
      <c r="C23" s="2" t="s">
        <v>129</v>
      </c>
      <c r="D23" s="101">
        <f>Walls!$B$280</f>
        <v>74</v>
      </c>
      <c r="E23" s="102">
        <f t="shared" si="0"/>
        <v>0</v>
      </c>
      <c r="F23" s="2" t="s">
        <v>1038</v>
      </c>
    </row>
    <row r="24" spans="1:6" x14ac:dyDescent="0.3">
      <c r="A24" s="21" t="s">
        <v>353</v>
      </c>
      <c r="B24" s="21">
        <v>177</v>
      </c>
      <c r="C24" s="2" t="s">
        <v>282</v>
      </c>
      <c r="D24" s="101">
        <f>Walls!$B$281</f>
        <v>177</v>
      </c>
      <c r="E24" s="102">
        <f t="shared" si="0"/>
        <v>0</v>
      </c>
      <c r="F24" s="2"/>
    </row>
    <row r="25" spans="1:6" x14ac:dyDescent="0.3">
      <c r="A25" s="21" t="s">
        <v>354</v>
      </c>
      <c r="B25" s="21">
        <v>212</v>
      </c>
      <c r="C25" s="2" t="s">
        <v>129</v>
      </c>
      <c r="D25" s="101">
        <f>Walls!$B$282</f>
        <v>212</v>
      </c>
      <c r="E25" s="102">
        <f t="shared" si="0"/>
        <v>0</v>
      </c>
      <c r="F25" s="2"/>
    </row>
    <row r="26" spans="1:6" x14ac:dyDescent="0.3">
      <c r="A26" s="21" t="s">
        <v>361</v>
      </c>
      <c r="B26" s="21">
        <v>1662</v>
      </c>
      <c r="C26" s="2" t="s">
        <v>282</v>
      </c>
      <c r="D26" s="101">
        <f>Walls!$B$286</f>
        <v>1662</v>
      </c>
      <c r="E26" s="102">
        <f t="shared" si="0"/>
        <v>0</v>
      </c>
      <c r="F26" s="2" t="s">
        <v>1039</v>
      </c>
    </row>
    <row r="27" spans="1:6" x14ac:dyDescent="0.3">
      <c r="A27" s="21" t="s">
        <v>364</v>
      </c>
      <c r="B27" s="21">
        <v>272</v>
      </c>
      <c r="C27" s="2" t="s">
        <v>282</v>
      </c>
      <c r="D27" s="101">
        <f>Walls!$B$289</f>
        <v>272</v>
      </c>
      <c r="E27" s="102">
        <f t="shared" si="0"/>
        <v>0</v>
      </c>
      <c r="F27" s="2" t="s">
        <v>1040</v>
      </c>
    </row>
    <row r="28" spans="1:6" x14ac:dyDescent="0.3">
      <c r="A28" s="21" t="s">
        <v>362</v>
      </c>
      <c r="B28" s="21">
        <v>45</v>
      </c>
      <c r="C28" s="2" t="s">
        <v>129</v>
      </c>
      <c r="D28" s="101">
        <f>Walls!$B$287</f>
        <v>45</v>
      </c>
      <c r="E28" s="102">
        <f t="shared" si="0"/>
        <v>0</v>
      </c>
      <c r="F28" s="2"/>
    </row>
    <row r="29" spans="1:6" x14ac:dyDescent="0.3">
      <c r="A29" s="21" t="s">
        <v>363</v>
      </c>
      <c r="B29" s="21">
        <v>156.52099999999999</v>
      </c>
      <c r="C29" s="2" t="s">
        <v>282</v>
      </c>
      <c r="D29" s="101">
        <f>Walls!$B$288</f>
        <v>156.52083333333331</v>
      </c>
      <c r="E29" s="102">
        <f t="shared" si="0"/>
        <v>-1.6666666667219943E-4</v>
      </c>
      <c r="F29" s="2"/>
    </row>
    <row r="30" spans="1:6" x14ac:dyDescent="0.3">
      <c r="A30" s="21" t="s">
        <v>1041</v>
      </c>
      <c r="B30" s="21">
        <v>139.833</v>
      </c>
      <c r="C30" s="2" t="s">
        <v>282</v>
      </c>
      <c r="D30" s="101">
        <f>Walls!$B$118</f>
        <v>139.83333333333334</v>
      </c>
      <c r="E30" s="102">
        <f t="shared" si="0"/>
        <v>3.3333333334439885E-4</v>
      </c>
      <c r="F30" s="2" t="s">
        <v>1042</v>
      </c>
    </row>
    <row r="31" spans="1:6" x14ac:dyDescent="0.3">
      <c r="A31" s="21" t="s">
        <v>1043</v>
      </c>
      <c r="B31" s="21">
        <v>568.35400000000004</v>
      </c>
      <c r="C31" s="2" t="s">
        <v>282</v>
      </c>
      <c r="D31" s="101">
        <f>Walls!$B$290</f>
        <v>568.35416666666663</v>
      </c>
      <c r="E31" s="102">
        <f t="shared" si="0"/>
        <v>1.666666665869343E-4</v>
      </c>
      <c r="F31" s="2"/>
    </row>
    <row r="32" spans="1:6" x14ac:dyDescent="0.3">
      <c r="A32" s="21" t="s">
        <v>1044</v>
      </c>
      <c r="B32" s="21">
        <v>3</v>
      </c>
      <c r="C32" s="2" t="s">
        <v>129</v>
      </c>
      <c r="D32" s="101">
        <f>Walls!$B$126</f>
        <v>3</v>
      </c>
      <c r="E32" s="102">
        <f t="shared" si="0"/>
        <v>0</v>
      </c>
      <c r="F32" s="2" t="s">
        <v>1045</v>
      </c>
    </row>
    <row r="33" spans="1:6" x14ac:dyDescent="0.3">
      <c r="A33" s="21" t="s">
        <v>1046</v>
      </c>
      <c r="B33" s="21">
        <v>4</v>
      </c>
      <c r="C33" s="2" t="s">
        <v>129</v>
      </c>
      <c r="D33" s="101">
        <f>Walls!$B$127</f>
        <v>4</v>
      </c>
      <c r="E33" s="102">
        <f t="shared" si="0"/>
        <v>0</v>
      </c>
      <c r="F33" s="2" t="s">
        <v>1047</v>
      </c>
    </row>
    <row r="34" spans="1:6" x14ac:dyDescent="0.3">
      <c r="A34" s="21" t="s">
        <v>367</v>
      </c>
      <c r="B34" s="21">
        <v>371.33300000000003</v>
      </c>
      <c r="C34" s="2" t="s">
        <v>282</v>
      </c>
      <c r="D34" s="101">
        <f>Walls!$B$291</f>
        <v>371.33333333333337</v>
      </c>
      <c r="E34" s="102">
        <f t="shared" si="0"/>
        <v>3.3333333334439885E-4</v>
      </c>
      <c r="F34" s="2" t="s">
        <v>1048</v>
      </c>
    </row>
    <row r="35" spans="1:6" x14ac:dyDescent="0.3">
      <c r="A35" s="21" t="s">
        <v>368</v>
      </c>
      <c r="B35" s="21">
        <v>520</v>
      </c>
      <c r="C35" s="2" t="s">
        <v>129</v>
      </c>
      <c r="D35" s="101">
        <f>Walls!$B$292</f>
        <v>520</v>
      </c>
      <c r="E35" s="102">
        <f t="shared" si="0"/>
        <v>0</v>
      </c>
      <c r="F35" s="2" t="s">
        <v>1049</v>
      </c>
    </row>
    <row r="36" spans="1:6" x14ac:dyDescent="0.3">
      <c r="A36" s="21" t="s">
        <v>431</v>
      </c>
      <c r="B36" s="21">
        <v>1040</v>
      </c>
      <c r="C36" s="2" t="s">
        <v>129</v>
      </c>
      <c r="D36" s="101">
        <f>Walls!$B$292*Walls!$B$31</f>
        <v>1040</v>
      </c>
      <c r="E36" s="102">
        <f t="shared" si="0"/>
        <v>0</v>
      </c>
      <c r="F36" s="2" t="s">
        <v>1050</v>
      </c>
    </row>
    <row r="37" spans="1:6" x14ac:dyDescent="0.3">
      <c r="A37" s="21" t="s">
        <v>1051</v>
      </c>
      <c r="B37" s="21">
        <v>1696</v>
      </c>
      <c r="C37" s="2" t="s">
        <v>129</v>
      </c>
      <c r="D37" s="101">
        <f>Walls!$B$293*2*Walls!$B$32</f>
        <v>1696</v>
      </c>
      <c r="E37" s="102">
        <f t="shared" si="0"/>
        <v>0</v>
      </c>
      <c r="F37" s="2" t="s">
        <v>1052</v>
      </c>
    </row>
    <row r="38" spans="1:6" x14ac:dyDescent="0.3">
      <c r="A38" s="21" t="s">
        <v>1053</v>
      </c>
      <c r="B38" s="21">
        <v>272</v>
      </c>
      <c r="C38" s="2" t="s">
        <v>129</v>
      </c>
      <c r="D38" s="101">
        <f>Walls!$B$106*Walls!$B$33</f>
        <v>272</v>
      </c>
      <c r="E38" s="102">
        <f t="shared" si="0"/>
        <v>0</v>
      </c>
      <c r="F38" s="2" t="s">
        <v>1054</v>
      </c>
    </row>
    <row r="39" spans="1:6" x14ac:dyDescent="0.3">
      <c r="A39" s="21" t="s">
        <v>1055</v>
      </c>
      <c r="B39" s="21">
        <v>408</v>
      </c>
      <c r="C39" s="2" t="s">
        <v>129</v>
      </c>
      <c r="D39" s="101">
        <f>Walls!$B$106*Walls!$B$34</f>
        <v>408</v>
      </c>
      <c r="E39" s="102">
        <f t="shared" si="0"/>
        <v>0</v>
      </c>
      <c r="F39" s="2" t="s">
        <v>1056</v>
      </c>
    </row>
    <row r="40" spans="1:6" x14ac:dyDescent="0.3">
      <c r="A40" s="21" t="s">
        <v>443</v>
      </c>
      <c r="B40" s="21">
        <v>68</v>
      </c>
      <c r="C40" s="2" t="s">
        <v>129</v>
      </c>
      <c r="D40" s="101">
        <f>Walls!$B$106*Walls!$B$35</f>
        <v>68</v>
      </c>
      <c r="E40" s="102">
        <f t="shared" si="0"/>
        <v>0</v>
      </c>
      <c r="F40" s="2" t="s">
        <v>1057</v>
      </c>
    </row>
    <row r="41" spans="1:6" x14ac:dyDescent="0.3">
      <c r="A41" s="21" t="s">
        <v>1058</v>
      </c>
      <c r="B41" s="21">
        <v>2363.6669999999999</v>
      </c>
      <c r="C41" s="2" t="s">
        <v>285</v>
      </c>
      <c r="D41" s="101">
        <f>Walls!$B$123*Walls!$B$30</f>
        <v>2363.666666666667</v>
      </c>
      <c r="E41" s="102">
        <f t="shared" si="0"/>
        <v>-3.3333333294649492E-4</v>
      </c>
      <c r="F41" s="2" t="s">
        <v>1059</v>
      </c>
    </row>
    <row r="42" spans="1:6" x14ac:dyDescent="0.3">
      <c r="A42" s="21" t="s">
        <v>1060</v>
      </c>
      <c r="B42" s="21">
        <v>34</v>
      </c>
      <c r="C42" s="2" t="s">
        <v>129</v>
      </c>
      <c r="D42" s="101">
        <f>Walls!$B$295</f>
        <v>34</v>
      </c>
      <c r="E42" s="102">
        <f t="shared" si="0"/>
        <v>0</v>
      </c>
      <c r="F42" s="2" t="s">
        <v>1061</v>
      </c>
    </row>
    <row r="43" spans="1:6" x14ac:dyDescent="0.3">
      <c r="A43" s="21" t="s">
        <v>372</v>
      </c>
      <c r="B43" s="21">
        <v>206</v>
      </c>
      <c r="C43" s="2" t="s">
        <v>282</v>
      </c>
      <c r="D43" s="101">
        <f>Walls!$B$296</f>
        <v>206</v>
      </c>
      <c r="E43" s="102">
        <f t="shared" si="0"/>
        <v>0</v>
      </c>
      <c r="F43" s="2" t="s">
        <v>1062</v>
      </c>
    </row>
    <row r="44" spans="1:6" x14ac:dyDescent="0.3">
      <c r="A44" s="21" t="s">
        <v>1063</v>
      </c>
      <c r="B44" s="21">
        <v>15</v>
      </c>
      <c r="C44" s="2" t="s">
        <v>282</v>
      </c>
      <c r="D44" s="101">
        <f>Walls!$B$297</f>
        <v>15</v>
      </c>
      <c r="E44" s="102">
        <f t="shared" si="0"/>
        <v>0</v>
      </c>
      <c r="F44" s="2" t="s">
        <v>1064</v>
      </c>
    </row>
    <row r="45" spans="1:6" x14ac:dyDescent="0.3">
      <c r="A45" s="21" t="s">
        <v>1065</v>
      </c>
      <c r="B45" s="21">
        <v>16</v>
      </c>
      <c r="C45" s="2" t="s">
        <v>282</v>
      </c>
      <c r="D45" s="101">
        <f>Walls!$B$298</f>
        <v>16</v>
      </c>
      <c r="E45" s="102">
        <f t="shared" si="0"/>
        <v>0</v>
      </c>
      <c r="F45" s="2"/>
    </row>
    <row r="46" spans="1:6" x14ac:dyDescent="0.3">
      <c r="A46" s="21" t="s">
        <v>394</v>
      </c>
      <c r="B46" s="21">
        <v>200</v>
      </c>
      <c r="C46" s="2" t="s">
        <v>285</v>
      </c>
      <c r="D46" s="101">
        <f>Walls!$B$307</f>
        <v>200</v>
      </c>
      <c r="E46" s="102">
        <f t="shared" si="0"/>
        <v>0</v>
      </c>
      <c r="F46" s="2" t="s">
        <v>1066</v>
      </c>
    </row>
    <row r="47" spans="1:6" x14ac:dyDescent="0.3">
      <c r="A47" s="21" t="s">
        <v>1067</v>
      </c>
      <c r="B47" s="21">
        <v>132</v>
      </c>
      <c r="C47" s="2" t="s">
        <v>282</v>
      </c>
      <c r="D47" s="101">
        <f>Walls!$B$308</f>
        <v>132</v>
      </c>
      <c r="E47" s="102">
        <f t="shared" si="0"/>
        <v>0</v>
      </c>
      <c r="F47" s="2" t="s">
        <v>1068</v>
      </c>
    </row>
    <row r="48" spans="1:6" x14ac:dyDescent="0.3">
      <c r="A48" s="21" t="s">
        <v>99</v>
      </c>
      <c r="B48" s="21">
        <v>9</v>
      </c>
      <c r="C48" s="2" t="s">
        <v>129</v>
      </c>
      <c r="D48" s="101">
        <f>Walls!$B$309</f>
        <v>9</v>
      </c>
      <c r="E48" s="102">
        <f t="shared" si="0"/>
        <v>0</v>
      </c>
      <c r="F48" s="2"/>
    </row>
    <row r="49" spans="1:6" x14ac:dyDescent="0.3">
      <c r="A49" s="6" t="s">
        <v>1069</v>
      </c>
      <c r="B49" s="21"/>
      <c r="C49" s="2"/>
      <c r="F49" s="2" t="s">
        <v>1070</v>
      </c>
    </row>
    <row r="50" spans="1:6" x14ac:dyDescent="0.3">
      <c r="A50" s="21" t="s">
        <v>1071</v>
      </c>
      <c r="B50" s="21">
        <v>504</v>
      </c>
      <c r="C50" s="2" t="s">
        <v>134</v>
      </c>
      <c r="D50" s="101">
        <f>Roof!$B$55</f>
        <v>504</v>
      </c>
      <c r="E50" s="102">
        <f t="shared" ref="E50:E71" si="1">D50-B50</f>
        <v>0</v>
      </c>
      <c r="F50" s="2" t="s">
        <v>1072</v>
      </c>
    </row>
    <row r="51" spans="1:6" x14ac:dyDescent="0.3">
      <c r="A51" s="21" t="s">
        <v>1073</v>
      </c>
      <c r="B51" s="21">
        <v>395</v>
      </c>
      <c r="C51" s="2" t="s">
        <v>134</v>
      </c>
      <c r="D51" s="101">
        <f>Roof!$B$56</f>
        <v>395</v>
      </c>
      <c r="E51" s="102">
        <f t="shared" si="1"/>
        <v>0</v>
      </c>
      <c r="F51" s="2" t="s">
        <v>1074</v>
      </c>
    </row>
    <row r="52" spans="1:6" x14ac:dyDescent="0.3">
      <c r="A52" s="21" t="s">
        <v>1075</v>
      </c>
      <c r="B52" s="21">
        <v>29.917000000000002</v>
      </c>
      <c r="C52" s="2" t="s">
        <v>134</v>
      </c>
      <c r="D52" s="101">
        <f>Roof!$B$58</f>
        <v>29.916666666666668</v>
      </c>
      <c r="E52" s="102">
        <f t="shared" si="1"/>
        <v>-3.3333333333374071E-4</v>
      </c>
      <c r="F52" s="2" t="s">
        <v>1076</v>
      </c>
    </row>
    <row r="53" spans="1:6" x14ac:dyDescent="0.3">
      <c r="A53" s="21" t="s">
        <v>1077</v>
      </c>
      <c r="B53" s="21">
        <v>0</v>
      </c>
      <c r="C53" s="2" t="s">
        <v>134</v>
      </c>
      <c r="D53" s="101">
        <f>Roof!$B$59</f>
        <v>0</v>
      </c>
      <c r="E53" s="102">
        <f t="shared" si="1"/>
        <v>0</v>
      </c>
      <c r="F53" s="2" t="s">
        <v>1078</v>
      </c>
    </row>
    <row r="54" spans="1:6" x14ac:dyDescent="0.3">
      <c r="A54" s="21" t="s">
        <v>1079</v>
      </c>
      <c r="B54" s="21">
        <v>1387.2919999999999</v>
      </c>
      <c r="C54" s="2" t="s">
        <v>285</v>
      </c>
      <c r="D54" s="101">
        <f>Roof!$B$60</f>
        <v>1387.2920420983621</v>
      </c>
      <c r="E54" s="102">
        <f t="shared" si="1"/>
        <v>4.2098362200704287E-5</v>
      </c>
      <c r="F54" s="2"/>
    </row>
    <row r="55" spans="1:6" x14ac:dyDescent="0.3">
      <c r="A55" s="21" t="s">
        <v>602</v>
      </c>
      <c r="B55" s="21">
        <v>168</v>
      </c>
      <c r="C55" s="2" t="s">
        <v>134</v>
      </c>
      <c r="D55" s="101">
        <f>Roof!$B$61</f>
        <v>168</v>
      </c>
      <c r="E55" s="102">
        <f t="shared" si="1"/>
        <v>0</v>
      </c>
      <c r="F55" s="2"/>
    </row>
    <row r="56" spans="1:6" x14ac:dyDescent="0.3">
      <c r="A56" s="21" t="s">
        <v>1080</v>
      </c>
      <c r="B56" s="21">
        <v>396.36900000000003</v>
      </c>
      <c r="C56" s="2" t="s">
        <v>134</v>
      </c>
      <c r="D56" s="101">
        <f>Roof!$B$62</f>
        <v>396.36915488524636</v>
      </c>
      <c r="E56" s="102">
        <f t="shared" si="1"/>
        <v>1.5488524633155976E-4</v>
      </c>
      <c r="F56" s="2" t="s">
        <v>1081</v>
      </c>
    </row>
    <row r="57" spans="1:6" x14ac:dyDescent="0.3">
      <c r="A57" s="21" t="s">
        <v>1082</v>
      </c>
      <c r="B57" s="21">
        <v>12</v>
      </c>
      <c r="C57" s="2" t="s">
        <v>129</v>
      </c>
      <c r="D57" s="101">
        <f>Roof!$B$63</f>
        <v>12</v>
      </c>
      <c r="E57" s="102">
        <f t="shared" si="1"/>
        <v>0</v>
      </c>
      <c r="F57" s="2"/>
    </row>
    <row r="58" spans="1:6" x14ac:dyDescent="0.3">
      <c r="A58" s="21" t="s">
        <v>1083</v>
      </c>
      <c r="B58" s="21">
        <v>1189.107</v>
      </c>
      <c r="C58" s="2" t="s">
        <v>282</v>
      </c>
      <c r="D58" s="101">
        <f>Roof!$B$67</f>
        <v>1189.107464655739</v>
      </c>
      <c r="E58" s="102">
        <f t="shared" si="1"/>
        <v>4.6465573905152269E-4</v>
      </c>
      <c r="F58" s="2" t="s">
        <v>1084</v>
      </c>
    </row>
    <row r="59" spans="1:6" x14ac:dyDescent="0.3">
      <c r="A59" s="21" t="s">
        <v>1085</v>
      </c>
      <c r="B59" s="21">
        <v>9</v>
      </c>
      <c r="C59" s="2" t="s">
        <v>129</v>
      </c>
      <c r="D59" s="101">
        <f>Roof!$B$64</f>
        <v>9</v>
      </c>
      <c r="E59" s="102">
        <f t="shared" si="1"/>
        <v>0</v>
      </c>
      <c r="F59" s="2"/>
    </row>
    <row r="60" spans="1:6" x14ac:dyDescent="0.3">
      <c r="A60" s="21" t="s">
        <v>614</v>
      </c>
      <c r="B60" s="21">
        <v>378</v>
      </c>
      <c r="C60" s="2" t="s">
        <v>282</v>
      </c>
      <c r="D60" s="101">
        <f>Roof!$B$69</f>
        <v>378</v>
      </c>
      <c r="E60" s="102">
        <f t="shared" si="1"/>
        <v>0</v>
      </c>
      <c r="F60" s="2"/>
    </row>
    <row r="61" spans="1:6" x14ac:dyDescent="0.3">
      <c r="A61" s="21" t="s">
        <v>1086</v>
      </c>
      <c r="B61" s="21">
        <v>84</v>
      </c>
      <c r="C61" s="2" t="s">
        <v>282</v>
      </c>
      <c r="D61" s="101">
        <f>Roof!$B$68</f>
        <v>84</v>
      </c>
      <c r="E61" s="102">
        <f t="shared" si="1"/>
        <v>0</v>
      </c>
      <c r="F61" s="2"/>
    </row>
    <row r="62" spans="1:6" x14ac:dyDescent="0.3">
      <c r="A62" s="21" t="s">
        <v>1087</v>
      </c>
      <c r="B62" s="21">
        <v>324</v>
      </c>
      <c r="C62" s="2" t="s">
        <v>129</v>
      </c>
      <c r="D62" s="101">
        <f>Roof!$B$70</f>
        <v>324</v>
      </c>
      <c r="E62" s="102">
        <f t="shared" si="1"/>
        <v>0</v>
      </c>
      <c r="F62" s="2"/>
    </row>
    <row r="63" spans="1:6" x14ac:dyDescent="0.3">
      <c r="A63" s="21" t="s">
        <v>1088</v>
      </c>
      <c r="B63" s="21">
        <v>648</v>
      </c>
      <c r="C63" s="2" t="s">
        <v>129</v>
      </c>
      <c r="D63" s="101">
        <f>Roof!$B$70*Roof!$B$29</f>
        <v>648</v>
      </c>
      <c r="E63" s="102">
        <f t="shared" si="1"/>
        <v>0</v>
      </c>
      <c r="F63" s="2"/>
    </row>
    <row r="64" spans="1:6" x14ac:dyDescent="0.3">
      <c r="A64" s="21" t="s">
        <v>617</v>
      </c>
      <c r="B64" s="21">
        <v>24</v>
      </c>
      <c r="C64" s="2" t="s">
        <v>129</v>
      </c>
      <c r="D64" s="101">
        <f>Roof!$B$71</f>
        <v>24</v>
      </c>
      <c r="E64" s="102">
        <f t="shared" si="1"/>
        <v>0</v>
      </c>
      <c r="F64" s="2"/>
    </row>
    <row r="65" spans="1:6" x14ac:dyDescent="0.3">
      <c r="A65" s="21" t="s">
        <v>1089</v>
      </c>
      <c r="B65" s="21">
        <v>1387.2919999999999</v>
      </c>
      <c r="C65" s="2" t="s">
        <v>285</v>
      </c>
      <c r="D65" s="101">
        <f>Roof!$B$60</f>
        <v>1387.2920420983621</v>
      </c>
      <c r="E65" s="102">
        <f t="shared" si="1"/>
        <v>4.2098362200704287E-5</v>
      </c>
      <c r="F65" s="2"/>
    </row>
    <row r="66" spans="1:6" x14ac:dyDescent="0.3">
      <c r="A66" s="21" t="s">
        <v>586</v>
      </c>
      <c r="B66" s="21">
        <v>27.831</v>
      </c>
      <c r="C66" s="2" t="s">
        <v>379</v>
      </c>
      <c r="D66" s="101">
        <f>Roof!$B$72</f>
        <v>27.83147615320788</v>
      </c>
      <c r="E66" s="102">
        <f t="shared" si="1"/>
        <v>4.7615320788096938E-4</v>
      </c>
      <c r="F66" s="2" t="s">
        <v>1090</v>
      </c>
    </row>
    <row r="67" spans="1:6" x14ac:dyDescent="0.3">
      <c r="A67" s="21" t="s">
        <v>588</v>
      </c>
      <c r="B67" s="21">
        <v>29.972000000000001</v>
      </c>
      <c r="C67" s="2" t="s">
        <v>379</v>
      </c>
      <c r="D67" s="101">
        <f>Roof!$B$73</f>
        <v>29.97235893422387</v>
      </c>
      <c r="E67" s="102">
        <f t="shared" si="1"/>
        <v>3.5893422386834573E-4</v>
      </c>
      <c r="F67" s="2" t="s">
        <v>1091</v>
      </c>
    </row>
    <row r="68" spans="1:6" x14ac:dyDescent="0.3">
      <c r="A68" s="21" t="s">
        <v>1092</v>
      </c>
      <c r="B68" s="21">
        <v>57.804000000000002</v>
      </c>
      <c r="C68" s="2" t="s">
        <v>379</v>
      </c>
      <c r="D68" s="101">
        <f>Roof!$B$74</f>
        <v>57.80383508743175</v>
      </c>
      <c r="E68" s="102">
        <f t="shared" si="1"/>
        <v>-1.6491256825190703E-4</v>
      </c>
      <c r="F68" s="2" t="s">
        <v>1093</v>
      </c>
    </row>
    <row r="69" spans="1:6" x14ac:dyDescent="0.3">
      <c r="A69" s="21" t="s">
        <v>1094</v>
      </c>
      <c r="B69" s="21">
        <v>10616.638000000001</v>
      </c>
      <c r="C69" s="2" t="s">
        <v>220</v>
      </c>
      <c r="D69" s="101">
        <f>Roof!$B$75</f>
        <v>10616.6377110583</v>
      </c>
      <c r="E69" s="102">
        <f t="shared" si="1"/>
        <v>-2.8894170100102201E-4</v>
      </c>
      <c r="F69" s="2"/>
    </row>
    <row r="70" spans="1:6" x14ac:dyDescent="0.3">
      <c r="A70" s="21" t="s">
        <v>1095</v>
      </c>
      <c r="B70" s="21">
        <v>2.4780000000000002</v>
      </c>
      <c r="C70" s="2" t="s">
        <v>379</v>
      </c>
      <c r="D70" s="101">
        <f>Roof!$B$76</f>
        <v>2.4776663237311389</v>
      </c>
      <c r="E70" s="102">
        <f t="shared" si="1"/>
        <v>-3.3367626886127155E-4</v>
      </c>
      <c r="F70" s="2" t="s">
        <v>1096</v>
      </c>
    </row>
    <row r="71" spans="1:6" x14ac:dyDescent="0.3">
      <c r="A71" s="21" t="s">
        <v>1097</v>
      </c>
      <c r="B71" s="21">
        <v>66.667000000000002</v>
      </c>
      <c r="C71" s="2" t="s">
        <v>285</v>
      </c>
      <c r="D71" s="101">
        <f>Roof!$B$77</f>
        <v>66.666666666666671</v>
      </c>
      <c r="E71" s="102">
        <f t="shared" si="1"/>
        <v>-3.33333333330188E-4</v>
      </c>
      <c r="F71" s="2" t="s">
        <v>1098</v>
      </c>
    </row>
  </sheetData>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4"/>
  <sheetViews>
    <sheetView workbookViewId="0"/>
  </sheetViews>
  <sheetFormatPr defaultRowHeight="14.4" x14ac:dyDescent="0.3"/>
  <cols>
    <col min="1" max="1" width="140" customWidth="1"/>
  </cols>
  <sheetData>
    <row r="1" spans="1:1" x14ac:dyDescent="0.3">
      <c r="A1" s="103" t="s">
        <v>1099</v>
      </c>
    </row>
    <row r="2" spans="1:1" ht="39.6" x14ac:dyDescent="0.3">
      <c r="A2" s="104" t="s">
        <v>1100</v>
      </c>
    </row>
    <row r="3" spans="1:1" ht="52.8" x14ac:dyDescent="0.3">
      <c r="A3" s="104" t="s">
        <v>1101</v>
      </c>
    </row>
    <row r="4" spans="1:1" ht="52.8" x14ac:dyDescent="0.3">
      <c r="A4" s="104" t="s">
        <v>1102</v>
      </c>
    </row>
    <row r="5" spans="1:1" ht="26.4" x14ac:dyDescent="0.3">
      <c r="A5" s="104" t="s">
        <v>1103</v>
      </c>
    </row>
    <row r="6" spans="1:1" ht="66" x14ac:dyDescent="0.3">
      <c r="A6" s="104" t="s">
        <v>1104</v>
      </c>
    </row>
    <row r="7" spans="1:1" ht="26.4" x14ac:dyDescent="0.3">
      <c r="A7" s="104" t="s">
        <v>1105</v>
      </c>
    </row>
    <row r="8" spans="1:1" x14ac:dyDescent="0.3">
      <c r="A8" s="104"/>
    </row>
    <row r="9" spans="1:1" x14ac:dyDescent="0.3">
      <c r="A9" s="103" t="s">
        <v>1106</v>
      </c>
    </row>
    <row r="10" spans="1:1" ht="39.6" x14ac:dyDescent="0.3">
      <c r="A10" s="104" t="s">
        <v>1107</v>
      </c>
    </row>
    <row r="11" spans="1:1" ht="26.4" x14ac:dyDescent="0.3">
      <c r="A11" s="104" t="s">
        <v>1108</v>
      </c>
    </row>
    <row r="12" spans="1:1" ht="26.4" x14ac:dyDescent="0.3">
      <c r="A12" s="104" t="s">
        <v>1109</v>
      </c>
    </row>
    <row r="13" spans="1:1" x14ac:dyDescent="0.3">
      <c r="A13" s="104" t="s">
        <v>1110</v>
      </c>
    </row>
    <row r="14" spans="1:1" x14ac:dyDescent="0.3">
      <c r="A14" s="104"/>
    </row>
    <row r="15" spans="1:1" x14ac:dyDescent="0.3">
      <c r="A15" s="103" t="s">
        <v>1111</v>
      </c>
    </row>
    <row r="16" spans="1:1" ht="26.4" x14ac:dyDescent="0.3">
      <c r="A16" s="104" t="s">
        <v>1112</v>
      </c>
    </row>
    <row r="17" spans="1:1" ht="39.6" x14ac:dyDescent="0.3">
      <c r="A17" s="104" t="s">
        <v>1113</v>
      </c>
    </row>
    <row r="18" spans="1:1" ht="39.6" x14ac:dyDescent="0.3">
      <c r="A18" s="104" t="s">
        <v>1114</v>
      </c>
    </row>
    <row r="19" spans="1:1" ht="39.6" x14ac:dyDescent="0.3">
      <c r="A19" s="104" t="s">
        <v>1115</v>
      </c>
    </row>
    <row r="20" spans="1:1" ht="26.4" x14ac:dyDescent="0.3">
      <c r="A20" s="104" t="s">
        <v>1116</v>
      </c>
    </row>
    <row r="21" spans="1:1" ht="26.4" x14ac:dyDescent="0.3">
      <c r="A21" s="104" t="s">
        <v>1117</v>
      </c>
    </row>
    <row r="22" spans="1:1" x14ac:dyDescent="0.3">
      <c r="A22" s="104"/>
    </row>
    <row r="23" spans="1:1" x14ac:dyDescent="0.3">
      <c r="A23" s="103" t="s">
        <v>1118</v>
      </c>
    </row>
    <row r="24" spans="1:1" ht="26.4" x14ac:dyDescent="0.3">
      <c r="A24" s="104" t="s">
        <v>1119</v>
      </c>
    </row>
    <row r="25" spans="1:1" ht="26.4" x14ac:dyDescent="0.3">
      <c r="A25" s="104" t="s">
        <v>1120</v>
      </c>
    </row>
    <row r="26" spans="1:1" ht="26.4" x14ac:dyDescent="0.3">
      <c r="A26" s="104" t="s">
        <v>1121</v>
      </c>
    </row>
    <row r="27" spans="1:1" x14ac:dyDescent="0.3">
      <c r="A27" s="104"/>
    </row>
    <row r="28" spans="1:1" x14ac:dyDescent="0.3">
      <c r="A28" s="103" t="s">
        <v>1122</v>
      </c>
    </row>
    <row r="29" spans="1:1" ht="39.6" x14ac:dyDescent="0.3">
      <c r="A29" s="104" t="s">
        <v>1123</v>
      </c>
    </row>
    <row r="30" spans="1:1" x14ac:dyDescent="0.3">
      <c r="A30" s="104"/>
    </row>
    <row r="31" spans="1:1" x14ac:dyDescent="0.3">
      <c r="A31" s="103" t="s">
        <v>1124</v>
      </c>
    </row>
    <row r="32" spans="1:1" ht="39.6" x14ac:dyDescent="0.3">
      <c r="A32" s="104" t="s">
        <v>1125</v>
      </c>
    </row>
    <row r="33" spans="1:1" x14ac:dyDescent="0.3">
      <c r="A33" s="104"/>
    </row>
    <row r="34" spans="1:1" x14ac:dyDescent="0.3">
      <c r="A34" s="103" t="s">
        <v>1126</v>
      </c>
    </row>
    <row r="35" spans="1:1" ht="39.6" x14ac:dyDescent="0.3">
      <c r="A35" s="104" t="s">
        <v>1127</v>
      </c>
    </row>
    <row r="36" spans="1:1" x14ac:dyDescent="0.3">
      <c r="A36" s="104" t="s">
        <v>1128</v>
      </c>
    </row>
    <row r="37" spans="1:1" x14ac:dyDescent="0.3">
      <c r="A37" s="104"/>
    </row>
    <row r="38" spans="1:1" x14ac:dyDescent="0.3">
      <c r="A38" s="103" t="s">
        <v>1129</v>
      </c>
    </row>
    <row r="39" spans="1:1" x14ac:dyDescent="0.3">
      <c r="A39" s="104" t="s">
        <v>1130</v>
      </c>
    </row>
    <row r="40" spans="1:1" ht="39.6" x14ac:dyDescent="0.3">
      <c r="A40" s="104" t="s">
        <v>1131</v>
      </c>
    </row>
    <row r="41" spans="1:1" x14ac:dyDescent="0.3">
      <c r="A41" s="104"/>
    </row>
    <row r="42" spans="1:1" ht="39.6" x14ac:dyDescent="0.3">
      <c r="A42" s="103" t="s">
        <v>1132</v>
      </c>
    </row>
    <row r="44" spans="1:1" x14ac:dyDescent="0.3">
      <c r="A44" s="3" t="s">
        <v>111</v>
      </c>
    </row>
  </sheetData>
  <hyperlinks>
    <hyperlink ref="A44" location="'Summary'!A1" display="← Summary" xr:uid="{00000000-0004-0000-06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Walls</vt:lpstr>
      <vt:lpstr>Roof</vt:lpstr>
      <vt:lpstr>Floor options</vt:lpstr>
      <vt:lpstr>Everything else</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2026-09-06T22:26:46Z</dcterms:created>
  <dcterms:modified xsi:type="dcterms:W3CDTF">2026-09-06T22:27:18Z</dcterms:modified>
</cp:coreProperties>
</file>