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globa\projects\wall-panel-animator\docs\estimate\models\"/>
    </mc:Choice>
  </mc:AlternateContent>
  <xr:revisionPtr revIDLastSave="0" documentId="13_ncr:1_{82CB0109-BB43-4D69-A1CD-DD1C384A5717}" xr6:coauthVersionLast="47" xr6:coauthVersionMax="47" xr10:uidLastSave="{00000000-0000-0000-0000-000000000000}"/>
  <bookViews>
    <workbookView xWindow="-108" yWindow="-108" windowWidth="23256" windowHeight="13896" xr2:uid="{00000000-000D-0000-FFFF-FFFF00000000}"/>
  </bookViews>
  <sheets>
    <sheet name="Summary" sheetId="1" r:id="rId1"/>
    <sheet name="Walls" sheetId="2" r:id="rId2"/>
    <sheet name="Roof" sheetId="3" r:id="rId3"/>
    <sheet name="Manufacturing" sheetId="4" r:id="rId4"/>
    <sheet name="Floor options" sheetId="5" r:id="rId5"/>
    <sheet name="Everything else" sheetId="6" r:id="rId6"/>
    <sheet name="Model takeoff" sheetId="7" r:id="rId7"/>
    <sheet name="Note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1" i="6" l="1"/>
  <c r="E160" i="6"/>
  <c r="E159" i="6"/>
  <c r="E154" i="6"/>
  <c r="G152" i="6"/>
  <c r="E152" i="6"/>
  <c r="H152" i="6" s="1"/>
  <c r="B150" i="6"/>
  <c r="G150" i="6" s="1"/>
  <c r="B140" i="6"/>
  <c r="G140" i="6" s="1"/>
  <c r="B139" i="6"/>
  <c r="G139" i="6" s="1"/>
  <c r="G132" i="6"/>
  <c r="E132" i="6"/>
  <c r="H132" i="6" s="1"/>
  <c r="B131" i="6"/>
  <c r="B130" i="6"/>
  <c r="E129" i="6"/>
  <c r="B128" i="6"/>
  <c r="B126" i="6"/>
  <c r="B125" i="6"/>
  <c r="B124" i="6"/>
  <c r="G124" i="6" s="1"/>
  <c r="B123" i="6"/>
  <c r="G123" i="6" s="1"/>
  <c r="B117" i="6"/>
  <c r="G117" i="6" s="1"/>
  <c r="B114" i="6"/>
  <c r="E114" i="6" s="1"/>
  <c r="G109" i="6"/>
  <c r="B109" i="6"/>
  <c r="E109" i="6" s="1"/>
  <c r="E108" i="6"/>
  <c r="B108" i="6"/>
  <c r="B107" i="6"/>
  <c r="G107" i="6" s="1"/>
  <c r="B106" i="6"/>
  <c r="E101" i="6"/>
  <c r="E100" i="6"/>
  <c r="G99" i="6"/>
  <c r="E99" i="6"/>
  <c r="G98" i="6"/>
  <c r="E98" i="6"/>
  <c r="G97" i="6"/>
  <c r="E97" i="6"/>
  <c r="H97" i="6" s="1"/>
  <c r="E96" i="6"/>
  <c r="E95" i="6"/>
  <c r="E94" i="6"/>
  <c r="E93" i="6"/>
  <c r="B88" i="6"/>
  <c r="G88" i="6" s="1"/>
  <c r="B78" i="6"/>
  <c r="G78" i="6" s="1"/>
  <c r="B77" i="6"/>
  <c r="E77" i="6" s="1"/>
  <c r="B76" i="6"/>
  <c r="B75" i="6"/>
  <c r="E75" i="6" s="1"/>
  <c r="E74" i="6"/>
  <c r="E68" i="6"/>
  <c r="E67" i="6"/>
  <c r="B66" i="6"/>
  <c r="G66" i="6" s="1"/>
  <c r="E65" i="6"/>
  <c r="B65" i="6"/>
  <c r="G65" i="6" s="1"/>
  <c r="E64" i="6"/>
  <c r="E63" i="6"/>
  <c r="E61" i="6"/>
  <c r="G56" i="6"/>
  <c r="E56" i="6"/>
  <c r="E55" i="6"/>
  <c r="B54" i="6"/>
  <c r="G54" i="6" s="1"/>
  <c r="B53" i="6"/>
  <c r="G53" i="6" s="1"/>
  <c r="B52" i="6"/>
  <c r="G52" i="6" s="1"/>
  <c r="B51" i="6"/>
  <c r="G51" i="6" s="1"/>
  <c r="E50" i="6"/>
  <c r="E49" i="6"/>
  <c r="E48" i="6"/>
  <c r="B47" i="6"/>
  <c r="B12" i="6"/>
  <c r="B9" i="6"/>
  <c r="B116" i="6" s="1"/>
  <c r="B7" i="6"/>
  <c r="B6" i="6"/>
  <c r="G67" i="6" s="1"/>
  <c r="H67" i="6" s="1"/>
  <c r="B119" i="5"/>
  <c r="H108" i="5"/>
  <c r="B108" i="5"/>
  <c r="H107" i="5"/>
  <c r="G107" i="5"/>
  <c r="H106" i="5"/>
  <c r="H105" i="5"/>
  <c r="I104" i="5"/>
  <c r="G104" i="5"/>
  <c r="H104" i="5" s="1"/>
  <c r="I103" i="5"/>
  <c r="G103" i="5"/>
  <c r="I102" i="5"/>
  <c r="G102" i="5"/>
  <c r="I101" i="5"/>
  <c r="G101" i="5"/>
  <c r="B101" i="5"/>
  <c r="I100" i="5"/>
  <c r="G100" i="5"/>
  <c r="I99" i="5"/>
  <c r="G99" i="5"/>
  <c r="I98" i="5"/>
  <c r="G98" i="5"/>
  <c r="I97" i="5"/>
  <c r="G97" i="5"/>
  <c r="I96" i="5"/>
  <c r="G96" i="5"/>
  <c r="I95" i="5"/>
  <c r="G95" i="5"/>
  <c r="I94" i="5"/>
  <c r="G94" i="5"/>
  <c r="H93" i="5"/>
  <c r="I92" i="5"/>
  <c r="G92" i="5"/>
  <c r="I91" i="5"/>
  <c r="G91" i="5"/>
  <c r="I90" i="5"/>
  <c r="G90" i="5"/>
  <c r="I89" i="5"/>
  <c r="G89" i="5"/>
  <c r="B80" i="5"/>
  <c r="B79" i="5"/>
  <c r="B78" i="5"/>
  <c r="B77" i="5"/>
  <c r="B66" i="5"/>
  <c r="B65" i="5"/>
  <c r="B64" i="5"/>
  <c r="H42" i="5"/>
  <c r="H41" i="5"/>
  <c r="H40" i="5"/>
  <c r="I39" i="5"/>
  <c r="G39" i="5"/>
  <c r="I38" i="5"/>
  <c r="G38" i="5"/>
  <c r="I37" i="5"/>
  <c r="G37" i="5"/>
  <c r="I36" i="5"/>
  <c r="G36" i="5"/>
  <c r="I35" i="5"/>
  <c r="G35" i="5"/>
  <c r="I34" i="5"/>
  <c r="G34" i="5"/>
  <c r="B12" i="5"/>
  <c r="B11" i="5"/>
  <c r="G41" i="5" s="1"/>
  <c r="B6" i="5"/>
  <c r="D36" i="4"/>
  <c r="C36" i="4"/>
  <c r="B36" i="4"/>
  <c r="B27" i="4"/>
  <c r="B28" i="4" s="1"/>
  <c r="B22" i="4"/>
  <c r="B21" i="4"/>
  <c r="B19" i="4"/>
  <c r="B13" i="4"/>
  <c r="B10" i="4"/>
  <c r="H121" i="3"/>
  <c r="H120" i="3"/>
  <c r="H119" i="3"/>
  <c r="H118" i="3"/>
  <c r="H117" i="3"/>
  <c r="I116" i="3"/>
  <c r="I115" i="3"/>
  <c r="B115" i="3"/>
  <c r="H115" i="3" s="1"/>
  <c r="J115" i="3" s="1"/>
  <c r="I114" i="3"/>
  <c r="I113" i="3"/>
  <c r="I112" i="3"/>
  <c r="I111" i="3"/>
  <c r="I110" i="3"/>
  <c r="I109" i="3"/>
  <c r="I108" i="3"/>
  <c r="I107" i="3"/>
  <c r="I106" i="3"/>
  <c r="I105" i="3"/>
  <c r="I104" i="3"/>
  <c r="I103" i="3"/>
  <c r="I102" i="3"/>
  <c r="I101" i="3"/>
  <c r="A101" i="3"/>
  <c r="I100" i="3"/>
  <c r="B73" i="3"/>
  <c r="D75" i="7" s="1"/>
  <c r="E75" i="7" s="1"/>
  <c r="B72" i="3"/>
  <c r="D74" i="7" s="1"/>
  <c r="E74" i="7" s="1"/>
  <c r="B71" i="3"/>
  <c r="B69" i="3"/>
  <c r="D53" i="7" s="1"/>
  <c r="E53" i="7" s="1"/>
  <c r="B63" i="3"/>
  <c r="B53" i="3"/>
  <c r="B38" i="3"/>
  <c r="B37" i="3"/>
  <c r="G110" i="3" s="1"/>
  <c r="B36" i="3"/>
  <c r="B35" i="3"/>
  <c r="G119" i="3" s="1"/>
  <c r="B34" i="3"/>
  <c r="B33" i="3"/>
  <c r="B32" i="3"/>
  <c r="B31" i="3"/>
  <c r="B30" i="3"/>
  <c r="B28" i="3"/>
  <c r="B27" i="3"/>
  <c r="B26" i="3"/>
  <c r="B23" i="3"/>
  <c r="B22" i="3"/>
  <c r="B19" i="3"/>
  <c r="B18" i="3"/>
  <c r="B17" i="3"/>
  <c r="F100" i="3" s="1"/>
  <c r="B16" i="3"/>
  <c r="A100" i="3" s="1"/>
  <c r="B15" i="3"/>
  <c r="B14" i="3"/>
  <c r="D54" i="1" s="1"/>
  <c r="B6" i="3"/>
  <c r="B70" i="3" s="1"/>
  <c r="H347" i="2"/>
  <c r="G347" i="2"/>
  <c r="H346" i="2"/>
  <c r="G346" i="2"/>
  <c r="H345" i="2"/>
  <c r="G345" i="2"/>
  <c r="H344" i="2"/>
  <c r="G344" i="2"/>
  <c r="H343" i="2"/>
  <c r="G343" i="2"/>
  <c r="H342" i="2"/>
  <c r="G342" i="2"/>
  <c r="H341" i="2"/>
  <c r="G341" i="2"/>
  <c r="H340" i="2"/>
  <c r="G340" i="2"/>
  <c r="I339" i="2"/>
  <c r="H339" i="2"/>
  <c r="J339" i="2" s="1"/>
  <c r="G339" i="2"/>
  <c r="B339" i="2"/>
  <c r="I335" i="2"/>
  <c r="I334" i="2"/>
  <c r="I333" i="2"/>
  <c r="I332" i="2"/>
  <c r="I336" i="2" s="1"/>
  <c r="I328" i="2"/>
  <c r="I329" i="2" s="1"/>
  <c r="I327" i="2"/>
  <c r="I323" i="2"/>
  <c r="I324" i="2" s="1"/>
  <c r="I319" i="2"/>
  <c r="I318" i="2"/>
  <c r="I317" i="2"/>
  <c r="I316" i="2"/>
  <c r="I315" i="2"/>
  <c r="G315" i="2"/>
  <c r="I314" i="2"/>
  <c r="G314" i="2"/>
  <c r="I313" i="2"/>
  <c r="G313" i="2"/>
  <c r="I309" i="2"/>
  <c r="I308" i="2"/>
  <c r="I310" i="2" s="1"/>
  <c r="I304" i="2"/>
  <c r="I303" i="2"/>
  <c r="I302" i="2"/>
  <c r="I301" i="2"/>
  <c r="I300" i="2"/>
  <c r="I299" i="2"/>
  <c r="I298" i="2"/>
  <c r="I297" i="2"/>
  <c r="I296" i="2"/>
  <c r="I295" i="2"/>
  <c r="I294" i="2"/>
  <c r="B284" i="2"/>
  <c r="B278" i="2"/>
  <c r="B277" i="2"/>
  <c r="D44" i="7" s="1"/>
  <c r="E44" i="7" s="1"/>
  <c r="B257" i="2"/>
  <c r="B250" i="2"/>
  <c r="B244" i="2"/>
  <c r="B240" i="2"/>
  <c r="B233" i="2"/>
  <c r="B227" i="2"/>
  <c r="B216" i="2"/>
  <c r="B210" i="2"/>
  <c r="B206" i="2"/>
  <c r="B199" i="2"/>
  <c r="B194" i="2"/>
  <c r="B203" i="2" s="1"/>
  <c r="B193" i="2"/>
  <c r="B195" i="2" s="1"/>
  <c r="B192" i="2"/>
  <c r="B201" i="2" s="1"/>
  <c r="B189" i="2"/>
  <c r="B184" i="2"/>
  <c r="B183" i="2"/>
  <c r="B182" i="2"/>
  <c r="B178" i="2"/>
  <c r="B176" i="2"/>
  <c r="B175" i="2"/>
  <c r="B172" i="2"/>
  <c r="B165" i="2"/>
  <c r="B160" i="2"/>
  <c r="B157" i="2"/>
  <c r="B152" i="2"/>
  <c r="B141" i="2"/>
  <c r="B136" i="2"/>
  <c r="B133" i="2"/>
  <c r="B128" i="2"/>
  <c r="B123" i="2"/>
  <c r="D32" i="7" s="1"/>
  <c r="E32" i="7" s="1"/>
  <c r="B121" i="2"/>
  <c r="B155" i="2" s="1"/>
  <c r="B116" i="2"/>
  <c r="B285" i="2" s="1"/>
  <c r="B113" i="2"/>
  <c r="B111" i="2"/>
  <c r="B105" i="2"/>
  <c r="B104" i="2"/>
  <c r="B103" i="2"/>
  <c r="B304" i="2" s="1"/>
  <c r="H304" i="2" s="1"/>
  <c r="B88" i="2"/>
  <c r="C19" i="1"/>
  <c r="B19" i="1"/>
  <c r="D19" i="1" s="1"/>
  <c r="E19" i="1" s="1"/>
  <c r="A19" i="1"/>
  <c r="A18" i="1"/>
  <c r="C16" i="1"/>
  <c r="C14" i="1"/>
  <c r="C10" i="1"/>
  <c r="H65" i="6" l="1"/>
  <c r="G77" i="6"/>
  <c r="H77" i="6" s="1"/>
  <c r="H98" i="6"/>
  <c r="G114" i="6"/>
  <c r="E66" i="6"/>
  <c r="H66" i="6" s="1"/>
  <c r="E78" i="6"/>
  <c r="H78" i="6" s="1"/>
  <c r="H99" i="6"/>
  <c r="H109" i="6"/>
  <c r="G42" i="5"/>
  <c r="H101" i="5"/>
  <c r="J101" i="5" s="1"/>
  <c r="G55" i="6"/>
  <c r="H55" i="6" s="1"/>
  <c r="B85" i="6"/>
  <c r="G85" i="6" s="1"/>
  <c r="E124" i="6"/>
  <c r="H124" i="6" s="1"/>
  <c r="B151" i="6"/>
  <c r="G151" i="6" s="1"/>
  <c r="I305" i="2"/>
  <c r="G107" i="3"/>
  <c r="H56" i="6"/>
  <c r="B86" i="6"/>
  <c r="G68" i="6"/>
  <c r="H68" i="6" s="1"/>
  <c r="G106" i="6"/>
  <c r="G125" i="6"/>
  <c r="B334" i="2"/>
  <c r="H334" i="2" s="1"/>
  <c r="J334" i="2" s="1"/>
  <c r="J304" i="2"/>
  <c r="G108" i="3"/>
  <c r="G126" i="6"/>
  <c r="H348" i="2"/>
  <c r="B76" i="3"/>
  <c r="D57" i="7" s="1"/>
  <c r="E57" i="7" s="1"/>
  <c r="G61" i="6"/>
  <c r="H61" i="6" s="1"/>
  <c r="B73" i="6"/>
  <c r="G73" i="6" s="1"/>
  <c r="G79" i="6" s="1"/>
  <c r="C22" i="1" s="1"/>
  <c r="E107" i="6"/>
  <c r="H107" i="6" s="1"/>
  <c r="G128" i="6"/>
  <c r="B87" i="3"/>
  <c r="G109" i="3"/>
  <c r="G93" i="6"/>
  <c r="H129" i="6"/>
  <c r="G159" i="6"/>
  <c r="B9" i="3"/>
  <c r="B20" i="2" s="1"/>
  <c r="B93" i="3"/>
  <c r="B14" i="4"/>
  <c r="B118" i="5" s="1"/>
  <c r="G48" i="6"/>
  <c r="H48" i="6" s="1"/>
  <c r="H63" i="6"/>
  <c r="G74" i="6"/>
  <c r="H74" i="6" s="1"/>
  <c r="H94" i="6"/>
  <c r="G129" i="6"/>
  <c r="B177" i="2"/>
  <c r="B186" i="2" s="1"/>
  <c r="B10" i="3"/>
  <c r="B94" i="3"/>
  <c r="J104" i="5"/>
  <c r="G63" i="6"/>
  <c r="H75" i="6"/>
  <c r="G94" i="6"/>
  <c r="G130" i="6"/>
  <c r="G160" i="6"/>
  <c r="H160" i="6" s="1"/>
  <c r="B200" i="2"/>
  <c r="B11" i="3"/>
  <c r="B67" i="3" s="1"/>
  <c r="C54" i="1" s="1"/>
  <c r="B95" i="3"/>
  <c r="B114" i="3" s="1"/>
  <c r="H114" i="3" s="1"/>
  <c r="J114" i="3" s="1"/>
  <c r="G49" i="6"/>
  <c r="H49" i="6" s="1"/>
  <c r="H64" i="6"/>
  <c r="G75" i="6"/>
  <c r="G131" i="6"/>
  <c r="B12" i="3"/>
  <c r="G64" i="6"/>
  <c r="G76" i="6"/>
  <c r="E131" i="6"/>
  <c r="G161" i="6"/>
  <c r="H161" i="6" s="1"/>
  <c r="J346" i="2"/>
  <c r="H108" i="6"/>
  <c r="B6" i="2"/>
  <c r="G100" i="3"/>
  <c r="G101" i="3"/>
  <c r="E51" i="6"/>
  <c r="H51" i="6" s="1"/>
  <c r="B107" i="2"/>
  <c r="B150" i="2"/>
  <c r="F101" i="3"/>
  <c r="G116" i="6"/>
  <c r="E116" i="6"/>
  <c r="E128" i="6"/>
  <c r="H128" i="6" s="1"/>
  <c r="E140" i="6"/>
  <c r="H140" i="6" s="1"/>
  <c r="H159" i="6"/>
  <c r="B131" i="2"/>
  <c r="D45" i="7"/>
  <c r="E45" i="7" s="1"/>
  <c r="B335" i="2"/>
  <c r="H335" i="2" s="1"/>
  <c r="J335" i="2" s="1"/>
  <c r="D13" i="7"/>
  <c r="E13" i="7" s="1"/>
  <c r="B25" i="3"/>
  <c r="E76" i="6"/>
  <c r="H76" i="6" s="1"/>
  <c r="H114" i="6"/>
  <c r="B343" i="2"/>
  <c r="I343" i="2" s="1"/>
  <c r="B346" i="2"/>
  <c r="I346" i="2" s="1"/>
  <c r="B303" i="2"/>
  <c r="H303" i="2" s="1"/>
  <c r="J303" i="2" s="1"/>
  <c r="B302" i="2"/>
  <c r="H302" i="2" s="1"/>
  <c r="J302" i="2" s="1"/>
  <c r="B345" i="2"/>
  <c r="I345" i="2" s="1"/>
  <c r="J345" i="2" s="1"/>
  <c r="B289" i="2"/>
  <c r="B269" i="2"/>
  <c r="D40" i="7"/>
  <c r="E40" i="7" s="1"/>
  <c r="D6" i="7"/>
  <c r="E6" i="7" s="1"/>
  <c r="B18" i="4"/>
  <c r="B344" i="2"/>
  <c r="I344" i="2" s="1"/>
  <c r="J344" i="2" s="1"/>
  <c r="D50" i="7"/>
  <c r="E50" i="7" s="1"/>
  <c r="D11" i="7"/>
  <c r="E11" i="7" s="1"/>
  <c r="B50" i="1"/>
  <c r="B17" i="6"/>
  <c r="E102" i="6"/>
  <c r="B24" i="1" s="1"/>
  <c r="B226" i="2"/>
  <c r="B124" i="2"/>
  <c r="B223" i="2"/>
  <c r="B156" i="2"/>
  <c r="B159" i="2" s="1"/>
  <c r="D10" i="7"/>
  <c r="E10" i="7" s="1"/>
  <c r="B20" i="4"/>
  <c r="B114" i="2"/>
  <c r="D66" i="7"/>
  <c r="E66" i="7" s="1"/>
  <c r="B105" i="3"/>
  <c r="H105" i="3" s="1"/>
  <c r="J105" i="3" s="1"/>
  <c r="G47" i="6"/>
  <c r="E47" i="6"/>
  <c r="B126" i="2"/>
  <c r="B242" i="2"/>
  <c r="B225" i="2"/>
  <c r="B208" i="2"/>
  <c r="B191" i="2"/>
  <c r="B174" i="2"/>
  <c r="B122" i="2"/>
  <c r="B55" i="1"/>
  <c r="B112" i="2"/>
  <c r="B47" i="1"/>
  <c r="B115" i="2"/>
  <c r="E106" i="6"/>
  <c r="E117" i="6"/>
  <c r="H117" i="6" s="1"/>
  <c r="D38" i="7"/>
  <c r="E38" i="7" s="1"/>
  <c r="H131" i="6"/>
  <c r="B25" i="4"/>
  <c r="B66" i="3"/>
  <c r="B7" i="5"/>
  <c r="E151" i="6"/>
  <c r="H151" i="6" s="1"/>
  <c r="D39" i="7"/>
  <c r="E39" i="7" s="1"/>
  <c r="B81" i="3"/>
  <c r="B82" i="3" s="1"/>
  <c r="I320" i="2"/>
  <c r="G118" i="3"/>
  <c r="G121" i="3"/>
  <c r="G117" i="3"/>
  <c r="G120" i="3"/>
  <c r="B110" i="3"/>
  <c r="H110" i="3" s="1"/>
  <c r="J110" i="3" s="1"/>
  <c r="E52" i="6"/>
  <c r="H52" i="6" s="1"/>
  <c r="E125" i="6"/>
  <c r="H125" i="6" s="1"/>
  <c r="G108" i="5"/>
  <c r="I108" i="5" s="1"/>
  <c r="J108" i="5" s="1"/>
  <c r="H93" i="6"/>
  <c r="G105" i="5"/>
  <c r="G40" i="5"/>
  <c r="E130" i="6"/>
  <c r="H130" i="6" s="1"/>
  <c r="B80" i="3"/>
  <c r="D61" i="7" s="1"/>
  <c r="E61" i="7" s="1"/>
  <c r="E53" i="6"/>
  <c r="H53" i="6" s="1"/>
  <c r="B87" i="6"/>
  <c r="B115" i="6"/>
  <c r="E126" i="6"/>
  <c r="H126" i="6" s="1"/>
  <c r="B138" i="6"/>
  <c r="B65" i="3"/>
  <c r="G100" i="6"/>
  <c r="H100" i="6" s="1"/>
  <c r="B162" i="6"/>
  <c r="D76" i="7"/>
  <c r="E76" i="7" s="1"/>
  <c r="G95" i="6"/>
  <c r="G93" i="5"/>
  <c r="G106" i="5"/>
  <c r="G108" i="6"/>
  <c r="G110" i="6" s="1"/>
  <c r="C25" i="1" s="1"/>
  <c r="G154" i="6"/>
  <c r="H154" i="6" s="1"/>
  <c r="E54" i="6"/>
  <c r="H54" i="6" s="1"/>
  <c r="G101" i="6"/>
  <c r="H101" i="6" s="1"/>
  <c r="E123" i="6"/>
  <c r="E150" i="6"/>
  <c r="H150" i="6" s="1"/>
  <c r="G50" i="6"/>
  <c r="H50" i="6" s="1"/>
  <c r="E88" i="6"/>
  <c r="H88" i="6" s="1"/>
  <c r="G96" i="6"/>
  <c r="H96" i="6" s="1"/>
  <c r="E139" i="6"/>
  <c r="H139" i="6" s="1"/>
  <c r="B13" i="3"/>
  <c r="E85" i="6" l="1"/>
  <c r="E73" i="6"/>
  <c r="B7" i="2"/>
  <c r="B127" i="2"/>
  <c r="B148" i="2"/>
  <c r="B48" i="1"/>
  <c r="B110" i="2"/>
  <c r="C48" i="1"/>
  <c r="B151" i="2"/>
  <c r="B154" i="2" s="1"/>
  <c r="B132" i="2"/>
  <c r="B209" i="2"/>
  <c r="B217" i="2" s="1"/>
  <c r="B121" i="3"/>
  <c r="I121" i="3" s="1"/>
  <c r="J121" i="3" s="1"/>
  <c r="B243" i="2"/>
  <c r="B249" i="2" s="1"/>
  <c r="B135" i="2"/>
  <c r="B118" i="2"/>
  <c r="B340" i="2" s="1"/>
  <c r="D77" i="7"/>
  <c r="E77" i="7" s="1"/>
  <c r="C55" i="1"/>
  <c r="E86" i="6"/>
  <c r="G86" i="6"/>
  <c r="B130" i="2"/>
  <c r="B8" i="6"/>
  <c r="B127" i="6" s="1"/>
  <c r="B21" i="2"/>
  <c r="D78" i="7"/>
  <c r="E78" i="7" s="1"/>
  <c r="D59" i="1"/>
  <c r="G162" i="6"/>
  <c r="G163" i="6" s="1"/>
  <c r="C30" i="1" s="1"/>
  <c r="E162" i="6"/>
  <c r="H116" i="6"/>
  <c r="G138" i="6"/>
  <c r="E138" i="6"/>
  <c r="H138" i="6" s="1"/>
  <c r="B179" i="2"/>
  <c r="B188" i="2" s="1"/>
  <c r="B181" i="2"/>
  <c r="B180" i="2"/>
  <c r="H85" i="6"/>
  <c r="B202" i="2"/>
  <c r="B185" i="2"/>
  <c r="B256" i="2"/>
  <c r="B147" i="2"/>
  <c r="B230" i="2"/>
  <c r="B239" i="2" s="1"/>
  <c r="B232" i="2"/>
  <c r="B231" i="2"/>
  <c r="B238" i="2" s="1"/>
  <c r="B247" i="2"/>
  <c r="J343" i="2"/>
  <c r="G115" i="6"/>
  <c r="E115" i="6"/>
  <c r="D27" i="7"/>
  <c r="E27" i="7" s="1"/>
  <c r="B296" i="2"/>
  <c r="H296" i="2" s="1"/>
  <c r="J296" i="2" s="1"/>
  <c r="B218" i="2"/>
  <c r="B137" i="2"/>
  <c r="B138" i="2"/>
  <c r="G57" i="6"/>
  <c r="D48" i="7"/>
  <c r="E48" i="7" s="1"/>
  <c r="B60" i="1"/>
  <c r="B162" i="2"/>
  <c r="B161" i="2"/>
  <c r="B196" i="2"/>
  <c r="B205" i="2" s="1"/>
  <c r="B198" i="2"/>
  <c r="B197" i="2"/>
  <c r="G87" i="6"/>
  <c r="G89" i="6" s="1"/>
  <c r="C23" i="1" s="1"/>
  <c r="E87" i="6"/>
  <c r="H87" i="6" s="1"/>
  <c r="B158" i="2"/>
  <c r="D33" i="7"/>
  <c r="E33" i="7" s="1"/>
  <c r="B153" i="2"/>
  <c r="B169" i="2" s="1"/>
  <c r="B211" i="2"/>
  <c r="B228" i="2"/>
  <c r="B236" i="2" s="1"/>
  <c r="B134" i="2"/>
  <c r="B129" i="2"/>
  <c r="B144" i="2" s="1"/>
  <c r="B245" i="2"/>
  <c r="B145" i="2"/>
  <c r="B235" i="2"/>
  <c r="B234" i="2"/>
  <c r="B229" i="2"/>
  <c r="B62" i="6"/>
  <c r="B153" i="6"/>
  <c r="H123" i="6"/>
  <c r="E79" i="6"/>
  <c r="B22" i="1" s="1"/>
  <c r="D22" i="1" s="1"/>
  <c r="E22" i="1" s="1"/>
  <c r="H73" i="6"/>
  <c r="H79" i="6" s="1"/>
  <c r="H95" i="6"/>
  <c r="H102" i="6" s="1"/>
  <c r="G102" i="6"/>
  <c r="C24" i="1" s="1"/>
  <c r="D24" i="1" s="1"/>
  <c r="E24" i="1" s="1"/>
  <c r="B298" i="2"/>
  <c r="H298" i="2" s="1"/>
  <c r="D30" i="7"/>
  <c r="E30" i="7" s="1"/>
  <c r="B15" i="6"/>
  <c r="B166" i="2"/>
  <c r="B167" i="2"/>
  <c r="B213" i="2"/>
  <c r="B222" i="2" s="1"/>
  <c r="E57" i="6"/>
  <c r="H47" i="6"/>
  <c r="H57" i="6" s="1"/>
  <c r="H106" i="6"/>
  <c r="H110" i="6" s="1"/>
  <c r="E110" i="6"/>
  <c r="B25" i="1" s="1"/>
  <c r="D25" i="1" s="1"/>
  <c r="E25" i="1" s="1"/>
  <c r="B96" i="5"/>
  <c r="H96" i="5" s="1"/>
  <c r="J96" i="5" s="1"/>
  <c r="B82" i="5"/>
  <c r="D12" i="7"/>
  <c r="E12" i="7" s="1"/>
  <c r="C50" i="1"/>
  <c r="B8" i="5"/>
  <c r="B9" i="5" s="1"/>
  <c r="B24" i="3"/>
  <c r="B74" i="3"/>
  <c r="B51" i="1" l="1"/>
  <c r="B246" i="2"/>
  <c r="B187" i="2"/>
  <c r="B168" i="2"/>
  <c r="B251" i="2"/>
  <c r="B288" i="2"/>
  <c r="B117" i="2"/>
  <c r="D14" i="7"/>
  <c r="E14" i="7" s="1"/>
  <c r="B212" i="2"/>
  <c r="B219" i="2" s="1"/>
  <c r="B220" i="2"/>
  <c r="B248" i="2"/>
  <c r="B255" i="2" s="1"/>
  <c r="B52" i="2"/>
  <c r="B68" i="2"/>
  <c r="B64" i="2"/>
  <c r="B48" i="2"/>
  <c r="B44" i="2"/>
  <c r="B252" i="2"/>
  <c r="G127" i="6"/>
  <c r="G133" i="6" s="1"/>
  <c r="C27" i="1" s="1"/>
  <c r="E127" i="6"/>
  <c r="B253" i="2"/>
  <c r="B214" i="2"/>
  <c r="B221" i="2" s="1"/>
  <c r="B8" i="2"/>
  <c r="H86" i="6"/>
  <c r="H89" i="6" s="1"/>
  <c r="B23" i="4"/>
  <c r="B237" i="2"/>
  <c r="B143" i="2"/>
  <c r="B142" i="2"/>
  <c r="B215" i="2"/>
  <c r="B35" i="5"/>
  <c r="H35" i="5" s="1"/>
  <c r="J35" i="5" s="1"/>
  <c r="B41" i="5"/>
  <c r="I41" i="5" s="1"/>
  <c r="J41" i="5" s="1"/>
  <c r="B26" i="4"/>
  <c r="B106" i="5"/>
  <c r="I106" i="5" s="1"/>
  <c r="J106" i="5" s="1"/>
  <c r="B99" i="5"/>
  <c r="H99" i="5" s="1"/>
  <c r="J99" i="5" s="1"/>
  <c r="B102" i="5"/>
  <c r="H102" i="5" s="1"/>
  <c r="J102" i="5" s="1"/>
  <c r="B37" i="5"/>
  <c r="H37" i="5" s="1"/>
  <c r="J37" i="5" s="1"/>
  <c r="B40" i="5"/>
  <c r="I40" i="5" s="1"/>
  <c r="B105" i="5"/>
  <c r="B86" i="5"/>
  <c r="B138" i="5" s="1"/>
  <c r="B29" i="5"/>
  <c r="B85" i="5"/>
  <c r="B36" i="5"/>
  <c r="H36" i="5" s="1"/>
  <c r="J36" i="5" s="1"/>
  <c r="B263" i="2"/>
  <c r="B149" i="6"/>
  <c r="B118" i="6"/>
  <c r="B148" i="6"/>
  <c r="B254" i="2"/>
  <c r="H115" i="6"/>
  <c r="E89" i="6"/>
  <c r="B23" i="1" s="1"/>
  <c r="D23" i="1" s="1"/>
  <c r="E23" i="1" s="1"/>
  <c r="J298" i="2"/>
  <c r="G153" i="6"/>
  <c r="E153" i="6"/>
  <c r="H153" i="6" s="1"/>
  <c r="B78" i="3"/>
  <c r="D55" i="7"/>
  <c r="E55" i="7" s="1"/>
  <c r="B84" i="3"/>
  <c r="B164" i="2"/>
  <c r="B163" i="2"/>
  <c r="B170" i="2" s="1"/>
  <c r="B10" i="5"/>
  <c r="B171" i="2"/>
  <c r="B68" i="3"/>
  <c r="D52" i="7" s="1"/>
  <c r="E52" i="7" s="1"/>
  <c r="B64" i="3"/>
  <c r="C20" i="1"/>
  <c r="B204" i="2"/>
  <c r="H162" i="6"/>
  <c r="H163" i="6" s="1"/>
  <c r="E163" i="6"/>
  <c r="B30" i="1" s="1"/>
  <c r="D30" i="1" s="1"/>
  <c r="E30" i="1" s="1"/>
  <c r="B20" i="1"/>
  <c r="I340" i="2"/>
  <c r="B140" i="2"/>
  <c r="B139" i="2"/>
  <c r="G62" i="6"/>
  <c r="G69" i="6" s="1"/>
  <c r="C21" i="1" s="1"/>
  <c r="E62" i="6"/>
  <c r="B84" i="5"/>
  <c r="B83" i="5"/>
  <c r="B95" i="5" s="1"/>
  <c r="H95" i="5" s="1"/>
  <c r="J95" i="5" s="1"/>
  <c r="B286" i="2" l="1"/>
  <c r="C59" i="1" s="1"/>
  <c r="B287" i="2"/>
  <c r="D47" i="7"/>
  <c r="E47" i="7" s="1"/>
  <c r="B328" i="2"/>
  <c r="H328" i="2" s="1"/>
  <c r="J328" i="2" s="1"/>
  <c r="B29" i="3"/>
  <c r="B96" i="3" s="1"/>
  <c r="D8" i="7"/>
  <c r="E8" i="7" s="1"/>
  <c r="B49" i="1"/>
  <c r="B274" i="2"/>
  <c r="B275" i="2" s="1"/>
  <c r="B72" i="2"/>
  <c r="B259" i="2" s="1"/>
  <c r="D22" i="7" s="1"/>
  <c r="E22" i="7" s="1"/>
  <c r="B108" i="2"/>
  <c r="B268" i="2"/>
  <c r="H127" i="6"/>
  <c r="H133" i="6" s="1"/>
  <c r="E133" i="6"/>
  <c r="B27" i="1" s="1"/>
  <c r="D27" i="1" s="1"/>
  <c r="E27" i="1" s="1"/>
  <c r="D20" i="1"/>
  <c r="E20" i="1" s="1"/>
  <c r="J40" i="5"/>
  <c r="J340" i="2"/>
  <c r="B103" i="5"/>
  <c r="H103" i="5" s="1"/>
  <c r="J103" i="5" s="1"/>
  <c r="B38" i="5"/>
  <c r="H38" i="5" s="1"/>
  <c r="J38" i="5" s="1"/>
  <c r="B52" i="5"/>
  <c r="B30" i="5"/>
  <c r="B31" i="5" s="1"/>
  <c r="B34" i="5" s="1"/>
  <c r="H34" i="5" s="1"/>
  <c r="B42" i="5"/>
  <c r="I42" i="5" s="1"/>
  <c r="J42" i="5" s="1"/>
  <c r="B39" i="5"/>
  <c r="H39" i="5" s="1"/>
  <c r="J39" i="5" s="1"/>
  <c r="I105" i="5"/>
  <c r="B113" i="5"/>
  <c r="G148" i="6"/>
  <c r="E148" i="6"/>
  <c r="G118" i="6"/>
  <c r="G119" i="6" s="1"/>
  <c r="E118" i="6"/>
  <c r="B97" i="5"/>
  <c r="H97" i="5" s="1"/>
  <c r="J97" i="5" s="1"/>
  <c r="B100" i="5"/>
  <c r="H100" i="5" s="1"/>
  <c r="J100" i="5" s="1"/>
  <c r="B98" i="5"/>
  <c r="H98" i="5" s="1"/>
  <c r="J98" i="5" s="1"/>
  <c r="H62" i="6"/>
  <c r="H69" i="6" s="1"/>
  <c r="E69" i="6"/>
  <c r="D63" i="7"/>
  <c r="E63" i="7" s="1"/>
  <c r="B101" i="3"/>
  <c r="H101" i="3" s="1"/>
  <c r="J101" i="3" s="1"/>
  <c r="G149" i="6"/>
  <c r="E149" i="6"/>
  <c r="B94" i="5"/>
  <c r="H94" i="5" s="1"/>
  <c r="B107" i="5"/>
  <c r="I107" i="5" s="1"/>
  <c r="J107" i="5" s="1"/>
  <c r="B146" i="2"/>
  <c r="D51" i="7"/>
  <c r="E51" i="7" s="1"/>
  <c r="B75" i="3"/>
  <c r="B92" i="3"/>
  <c r="D58" i="7"/>
  <c r="E58" i="7" s="1"/>
  <c r="B83" i="3"/>
  <c r="B109" i="2" l="1"/>
  <c r="B258" i="2" s="1"/>
  <c r="D21" i="7" s="1"/>
  <c r="E21" i="7" s="1"/>
  <c r="B272" i="2"/>
  <c r="B271" i="2"/>
  <c r="B276" i="2"/>
  <c r="B270" i="2"/>
  <c r="D31" i="7" s="1"/>
  <c r="E31" i="7" s="1"/>
  <c r="D29" i="7"/>
  <c r="E29" i="7" s="1"/>
  <c r="B297" i="2"/>
  <c r="H297" i="2" s="1"/>
  <c r="J297" i="2" s="1"/>
  <c r="D73" i="7"/>
  <c r="E73" i="7" s="1"/>
  <c r="B113" i="3"/>
  <c r="H113" i="3" s="1"/>
  <c r="J113" i="3" s="1"/>
  <c r="C49" i="1"/>
  <c r="B119" i="2"/>
  <c r="D42" i="7"/>
  <c r="E42" i="7" s="1"/>
  <c r="B332" i="2"/>
  <c r="H332" i="2" s="1"/>
  <c r="J332" i="2" s="1"/>
  <c r="B11" i="6"/>
  <c r="B106" i="2"/>
  <c r="B264" i="2"/>
  <c r="B265" i="2" s="1"/>
  <c r="B294" i="2" s="1"/>
  <c r="H294" i="2" s="1"/>
  <c r="B261" i="2"/>
  <c r="B273" i="2"/>
  <c r="H148" i="6"/>
  <c r="B327" i="2"/>
  <c r="H327" i="2" s="1"/>
  <c r="D46" i="7"/>
  <c r="E46" i="7" s="1"/>
  <c r="B260" i="2"/>
  <c r="D23" i="7" s="1"/>
  <c r="E23" i="7" s="1"/>
  <c r="B267" i="2"/>
  <c r="D28" i="7" s="1"/>
  <c r="E28" i="7" s="1"/>
  <c r="J34" i="5"/>
  <c r="J43" i="5" s="1"/>
  <c r="H43" i="5"/>
  <c r="H131" i="5" s="1"/>
  <c r="B100" i="3"/>
  <c r="H100" i="3" s="1"/>
  <c r="B58" i="1"/>
  <c r="D59" i="7"/>
  <c r="E59" i="7" s="1"/>
  <c r="H118" i="6"/>
  <c r="H119" i="6" s="1"/>
  <c r="E119" i="6"/>
  <c r="B26" i="1" s="1"/>
  <c r="B93" i="5"/>
  <c r="I93" i="5" s="1"/>
  <c r="B53" i="5"/>
  <c r="B90" i="5" s="1"/>
  <c r="H90" i="5" s="1"/>
  <c r="J90" i="5" s="1"/>
  <c r="B89" i="5"/>
  <c r="H89" i="5" s="1"/>
  <c r="B92" i="5"/>
  <c r="H92" i="5" s="1"/>
  <c r="J92" i="5" s="1"/>
  <c r="B91" i="5"/>
  <c r="H91" i="5" s="1"/>
  <c r="J91" i="5" s="1"/>
  <c r="B79" i="3"/>
  <c r="D56" i="7"/>
  <c r="E56" i="7" s="1"/>
  <c r="B77" i="3"/>
  <c r="B112" i="3"/>
  <c r="H112" i="3" s="1"/>
  <c r="J112" i="3" s="1"/>
  <c r="B91" i="3"/>
  <c r="B21" i="1"/>
  <c r="D21" i="1" s="1"/>
  <c r="E21" i="1" s="1"/>
  <c r="C26" i="1"/>
  <c r="D37" i="7"/>
  <c r="E37" i="7" s="1"/>
  <c r="B301" i="2"/>
  <c r="H301" i="2" s="1"/>
  <c r="J301" i="2" s="1"/>
  <c r="B266" i="2"/>
  <c r="B109" i="3"/>
  <c r="H109" i="3" s="1"/>
  <c r="J109" i="3" s="1"/>
  <c r="D72" i="7"/>
  <c r="E72" i="7" s="1"/>
  <c r="C53" i="1"/>
  <c r="D24" i="7"/>
  <c r="E24" i="7" s="1"/>
  <c r="B295" i="2"/>
  <c r="H295" i="2" s="1"/>
  <c r="J295" i="2" s="1"/>
  <c r="B122" i="5"/>
  <c r="B123" i="5" s="1"/>
  <c r="D33" i="4"/>
  <c r="D34" i="4" s="1"/>
  <c r="D38" i="1" s="1"/>
  <c r="E38" i="1" s="1"/>
  <c r="H112" i="5"/>
  <c r="J94" i="5"/>
  <c r="I112" i="5"/>
  <c r="J105" i="5"/>
  <c r="I43" i="5"/>
  <c r="I131" i="5" s="1"/>
  <c r="B262" i="2"/>
  <c r="H149" i="6"/>
  <c r="D15" i="7" l="1"/>
  <c r="E15" i="7" s="1"/>
  <c r="B120" i="2"/>
  <c r="H329" i="2"/>
  <c r="J327" i="2"/>
  <c r="J329" i="2" s="1"/>
  <c r="D43" i="7"/>
  <c r="E43" i="7" s="1"/>
  <c r="B333" i="2"/>
  <c r="H333" i="2" s="1"/>
  <c r="D34" i="7"/>
  <c r="E34" i="7" s="1"/>
  <c r="B299" i="2"/>
  <c r="H299" i="2" s="1"/>
  <c r="J299" i="2" s="1"/>
  <c r="B300" i="2"/>
  <c r="H300" i="2" s="1"/>
  <c r="J300" i="2" s="1"/>
  <c r="D36" i="7"/>
  <c r="E36" i="7" s="1"/>
  <c r="D35" i="7"/>
  <c r="E35" i="7" s="1"/>
  <c r="B323" i="2"/>
  <c r="H323" i="2" s="1"/>
  <c r="D25" i="7"/>
  <c r="E25" i="7" s="1"/>
  <c r="B57" i="1"/>
  <c r="B12" i="2"/>
  <c r="J89" i="5"/>
  <c r="H109" i="5"/>
  <c r="H132" i="5" s="1"/>
  <c r="H114" i="5"/>
  <c r="I114" i="5"/>
  <c r="I109" i="5"/>
  <c r="I132" i="5" s="1"/>
  <c r="I136" i="5" s="1"/>
  <c r="J93" i="5"/>
  <c r="D26" i="1"/>
  <c r="E26" i="1" s="1"/>
  <c r="B59" i="1"/>
  <c r="D71" i="7"/>
  <c r="E71" i="7" s="1"/>
  <c r="J112" i="5"/>
  <c r="B120" i="5"/>
  <c r="D31" i="4"/>
  <c r="J294" i="2"/>
  <c r="J305" i="2" s="1"/>
  <c r="H137" i="5"/>
  <c r="J131" i="5"/>
  <c r="B18" i="1"/>
  <c r="D18" i="1" s="1"/>
  <c r="E18" i="1" s="1"/>
  <c r="D60" i="7"/>
  <c r="E60" i="7" s="1"/>
  <c r="B85" i="3"/>
  <c r="B86" i="3"/>
  <c r="I137" i="5"/>
  <c r="C18" i="1"/>
  <c r="C12" i="2"/>
  <c r="D26" i="7"/>
  <c r="E26" i="7" s="1"/>
  <c r="C57" i="1"/>
  <c r="J100" i="3"/>
  <c r="D54" i="7"/>
  <c r="E54" i="7" s="1"/>
  <c r="B118" i="3"/>
  <c r="I118" i="3" s="1"/>
  <c r="J118" i="3" s="1"/>
  <c r="B24" i="4"/>
  <c r="B117" i="3"/>
  <c r="B106" i="3"/>
  <c r="H106" i="3" s="1"/>
  <c r="J106" i="3" s="1"/>
  <c r="D67" i="7"/>
  <c r="E67" i="7" s="1"/>
  <c r="B116" i="3"/>
  <c r="H116" i="3" s="1"/>
  <c r="J116" i="3" s="1"/>
  <c r="B89" i="3"/>
  <c r="B88" i="3"/>
  <c r="B111" i="3"/>
  <c r="H111" i="3" s="1"/>
  <c r="J111" i="3" s="1"/>
  <c r="B16" i="6"/>
  <c r="B147" i="6" s="1"/>
  <c r="B54" i="1"/>
  <c r="B121" i="5"/>
  <c r="D32" i="4"/>
  <c r="H305" i="2" l="1"/>
  <c r="J323" i="2"/>
  <c r="J324" i="2" s="1"/>
  <c r="H324" i="2"/>
  <c r="B124" i="5"/>
  <c r="J333" i="2"/>
  <c r="J336" i="2" s="1"/>
  <c r="H336" i="2"/>
  <c r="D35" i="4"/>
  <c r="D37" i="4" s="1"/>
  <c r="D37" i="1" s="1"/>
  <c r="E37" i="1" s="1"/>
  <c r="D16" i="7"/>
  <c r="E16" i="7" s="1"/>
  <c r="D41" i="7"/>
  <c r="E41" i="7" s="1"/>
  <c r="B280" i="2"/>
  <c r="C8" i="2"/>
  <c r="C51" i="1"/>
  <c r="B281" i="2"/>
  <c r="B308" i="2"/>
  <c r="B279" i="2"/>
  <c r="B10" i="6"/>
  <c r="B341" i="2"/>
  <c r="D69" i="7"/>
  <c r="E69" i="7" s="1"/>
  <c r="B120" i="3"/>
  <c r="I120" i="3" s="1"/>
  <c r="B108" i="3"/>
  <c r="H108" i="3" s="1"/>
  <c r="J114" i="5"/>
  <c r="D48" i="4"/>
  <c r="J132" i="5"/>
  <c r="H136" i="5"/>
  <c r="J136" i="5" s="1"/>
  <c r="G136" i="5" s="1"/>
  <c r="I117" i="3"/>
  <c r="B128" i="3"/>
  <c r="C33" i="4" s="1"/>
  <c r="B103" i="3"/>
  <c r="H103" i="3" s="1"/>
  <c r="J103" i="3" s="1"/>
  <c r="D65" i="7"/>
  <c r="E65" i="7" s="1"/>
  <c r="D64" i="7"/>
  <c r="E64" i="7" s="1"/>
  <c r="B104" i="3"/>
  <c r="H104" i="3" s="1"/>
  <c r="J104" i="3" s="1"/>
  <c r="D62" i="7"/>
  <c r="E62" i="7" s="1"/>
  <c r="B102" i="3"/>
  <c r="H102" i="3" s="1"/>
  <c r="J115" i="5"/>
  <c r="D51" i="4" s="1"/>
  <c r="I133" i="5"/>
  <c r="I134" i="5" s="1"/>
  <c r="D49" i="4"/>
  <c r="J109" i="5"/>
  <c r="G131" i="5"/>
  <c r="B61" i="1"/>
  <c r="J137" i="5"/>
  <c r="G137" i="5" s="1"/>
  <c r="G147" i="6"/>
  <c r="E147" i="6"/>
  <c r="H147" i="6" s="1"/>
  <c r="B125" i="5"/>
  <c r="B126" i="5" s="1"/>
  <c r="B107" i="3"/>
  <c r="H107" i="3" s="1"/>
  <c r="J107" i="3" s="1"/>
  <c r="D68" i="7"/>
  <c r="E68" i="7" s="1"/>
  <c r="B90" i="3"/>
  <c r="B119" i="3"/>
  <c r="I119" i="3" s="1"/>
  <c r="J119" i="3" s="1"/>
  <c r="B342" i="2" l="1"/>
  <c r="I342" i="2" s="1"/>
  <c r="J342" i="2" s="1"/>
  <c r="D17" i="7"/>
  <c r="E17" i="7" s="1"/>
  <c r="B313" i="2"/>
  <c r="H313" i="2" s="1"/>
  <c r="J313" i="2" s="1"/>
  <c r="B282" i="2"/>
  <c r="B309" i="2"/>
  <c r="H309" i="2" s="1"/>
  <c r="J309" i="2" s="1"/>
  <c r="H308" i="2"/>
  <c r="B314" i="2"/>
  <c r="H314" i="2" s="1"/>
  <c r="J314" i="2" s="1"/>
  <c r="D18" i="7"/>
  <c r="E18" i="7" s="1"/>
  <c r="B137" i="6"/>
  <c r="B145" i="6"/>
  <c r="B146" i="6"/>
  <c r="D40" i="4"/>
  <c r="B315" i="2"/>
  <c r="H315" i="2" s="1"/>
  <c r="B347" i="2"/>
  <c r="I347" i="2" s="1"/>
  <c r="D19" i="7"/>
  <c r="E19" i="7" s="1"/>
  <c r="B354" i="2"/>
  <c r="B33" i="4" s="1"/>
  <c r="B34" i="4" s="1"/>
  <c r="I341" i="2"/>
  <c r="B127" i="5"/>
  <c r="H133" i="5"/>
  <c r="C34" i="4"/>
  <c r="G132" i="5"/>
  <c r="C61" i="1"/>
  <c r="D70" i="7"/>
  <c r="E70" i="7" s="1"/>
  <c r="B53" i="1"/>
  <c r="D50" i="4"/>
  <c r="H129" i="3"/>
  <c r="J108" i="3"/>
  <c r="J117" i="3"/>
  <c r="I127" i="3"/>
  <c r="C32" i="4" s="1"/>
  <c r="I122" i="3"/>
  <c r="I124" i="3" s="1"/>
  <c r="J102" i="3"/>
  <c r="H122" i="3"/>
  <c r="H124" i="3" s="1"/>
  <c r="J124" i="3" s="1"/>
  <c r="H127" i="3"/>
  <c r="I129" i="3"/>
  <c r="J120" i="3"/>
  <c r="D38" i="4"/>
  <c r="D39" i="4" s="1"/>
  <c r="E145" i="6" l="1"/>
  <c r="G145" i="6"/>
  <c r="E34" i="4"/>
  <c r="D36" i="1" s="1"/>
  <c r="E36" i="1" s="1"/>
  <c r="J308" i="2"/>
  <c r="J310" i="2" s="1"/>
  <c r="H310" i="2"/>
  <c r="J347" i="2"/>
  <c r="I355" i="2"/>
  <c r="G146" i="6"/>
  <c r="E146" i="6"/>
  <c r="H146" i="6" s="1"/>
  <c r="H355" i="2"/>
  <c r="J315" i="2"/>
  <c r="D20" i="7"/>
  <c r="E20" i="7" s="1"/>
  <c r="B283" i="2"/>
  <c r="B52" i="1"/>
  <c r="B9" i="2"/>
  <c r="E32" i="4"/>
  <c r="E137" i="6"/>
  <c r="G137" i="6"/>
  <c r="G141" i="6" s="1"/>
  <c r="E33" i="4"/>
  <c r="B54" i="4" s="1"/>
  <c r="J341" i="2"/>
  <c r="J348" i="2" s="1"/>
  <c r="I348" i="2"/>
  <c r="I350" i="2" s="1"/>
  <c r="I353" i="2"/>
  <c r="B32" i="4" s="1"/>
  <c r="C49" i="4"/>
  <c r="C17" i="1"/>
  <c r="B56" i="4"/>
  <c r="B55" i="4"/>
  <c r="J127" i="3"/>
  <c r="C31" i="4"/>
  <c r="C35" i="4" s="1"/>
  <c r="J122" i="3"/>
  <c r="H134" i="5"/>
  <c r="J134" i="5" s="1"/>
  <c r="J133" i="5"/>
  <c r="J129" i="3"/>
  <c r="C48" i="4"/>
  <c r="B17" i="1"/>
  <c r="B48" i="4" l="1"/>
  <c r="J355" i="2"/>
  <c r="C14" i="2" s="1"/>
  <c r="B15" i="1"/>
  <c r="C52" i="1"/>
  <c r="B317" i="2"/>
  <c r="H317" i="2" s="1"/>
  <c r="J317" i="2" s="1"/>
  <c r="B316" i="2"/>
  <c r="H316" i="2" s="1"/>
  <c r="B319" i="2"/>
  <c r="H319" i="2" s="1"/>
  <c r="J319" i="2" s="1"/>
  <c r="B318" i="2"/>
  <c r="H318" i="2" s="1"/>
  <c r="J318" i="2" s="1"/>
  <c r="B11" i="2"/>
  <c r="B10" i="2"/>
  <c r="B56" i="1"/>
  <c r="B49" i="4"/>
  <c r="E49" i="4" s="1"/>
  <c r="C15" i="1"/>
  <c r="C31" i="1" s="1"/>
  <c r="C32" i="1" s="1"/>
  <c r="C34" i="1" s="1"/>
  <c r="D17" i="1"/>
  <c r="E17" i="1" s="1"/>
  <c r="C28" i="1"/>
  <c r="G155" i="6"/>
  <c r="C29" i="1" s="1"/>
  <c r="H137" i="6"/>
  <c r="H141" i="6" s="1"/>
  <c r="E141" i="6"/>
  <c r="H145" i="6"/>
  <c r="H155" i="6" s="1"/>
  <c r="E155" i="6"/>
  <c r="B29" i="1" s="1"/>
  <c r="D29" i="1" s="1"/>
  <c r="E29" i="1" s="1"/>
  <c r="C50" i="4"/>
  <c r="E48" i="4"/>
  <c r="G133" i="5"/>
  <c r="D61" i="1"/>
  <c r="C37" i="4"/>
  <c r="C38" i="4" s="1"/>
  <c r="C40" i="4"/>
  <c r="J135" i="5"/>
  <c r="G134" i="5"/>
  <c r="B59" i="4"/>
  <c r="J130" i="3"/>
  <c r="C51" i="4" s="1"/>
  <c r="J316" i="2" l="1"/>
  <c r="J320" i="2" s="1"/>
  <c r="H353" i="2"/>
  <c r="H320" i="2"/>
  <c r="H350" i="2" s="1"/>
  <c r="J350" i="2" s="1"/>
  <c r="B13" i="2" s="1"/>
  <c r="H165" i="6"/>
  <c r="E165" i="6"/>
  <c r="B28" i="1"/>
  <c r="D28" i="1" s="1"/>
  <c r="E28" i="1" s="1"/>
  <c r="D15" i="1"/>
  <c r="E15" i="1" s="1"/>
  <c r="B50" i="4"/>
  <c r="E50" i="4" s="1"/>
  <c r="G165" i="6"/>
  <c r="C39" i="4"/>
  <c r="C44" i="1" s="1"/>
  <c r="J132" i="3"/>
  <c r="J133" i="3" s="1"/>
  <c r="B43" i="1" s="1"/>
  <c r="B16" i="1"/>
  <c r="D16" i="1" s="1"/>
  <c r="E16" i="1" s="1"/>
  <c r="B31" i="4" l="1"/>
  <c r="J353" i="2"/>
  <c r="J356" i="2" l="1"/>
  <c r="B51" i="4" s="1"/>
  <c r="B14" i="2"/>
  <c r="B35" i="4"/>
  <c r="E31" i="4"/>
  <c r="B58" i="4" s="1"/>
  <c r="B60" i="4" s="1"/>
  <c r="B37" i="4" l="1"/>
  <c r="E37" i="4" s="1"/>
  <c r="D35" i="1" s="1"/>
  <c r="E35" i="1" s="1"/>
  <c r="E35" i="4"/>
  <c r="B40" i="4"/>
  <c r="B38" i="4"/>
  <c r="B39" i="4" l="1"/>
  <c r="B44" i="1" s="1"/>
  <c r="E38" i="4"/>
  <c r="B57" i="4" s="1"/>
  <c r="B61" i="4" s="1"/>
  <c r="J358" i="2"/>
  <c r="B14" i="1"/>
  <c r="B42" i="4"/>
  <c r="D14" i="1" l="1"/>
  <c r="B31" i="1"/>
  <c r="B32" i="1" s="1"/>
  <c r="D32" i="1" s="1"/>
  <c r="E32" i="1" s="1"/>
  <c r="B43" i="4"/>
  <c r="B45" i="4" s="1"/>
  <c r="B44" i="4"/>
  <c r="J361" i="2"/>
  <c r="J360" i="2"/>
  <c r="B42" i="1" s="1"/>
  <c r="J359" i="2"/>
  <c r="C42" i="1" s="1"/>
  <c r="B34" i="1" l="1"/>
  <c r="E14" i="1"/>
  <c r="D31" i="1"/>
  <c r="E31" i="1" l="1"/>
  <c r="D33" i="1"/>
  <c r="E33" i="1" s="1"/>
  <c r="D34" i="1"/>
  <c r="F21" i="1" s="1"/>
  <c r="F33" i="1"/>
  <c r="F17" i="1"/>
  <c r="F26" i="1"/>
  <c r="F28" i="1"/>
  <c r="F14" i="1"/>
  <c r="F19" i="1"/>
  <c r="F34" i="1"/>
  <c r="B41" i="1"/>
  <c r="F31" i="1"/>
  <c r="F35" i="1"/>
  <c r="F30" i="1"/>
  <c r="F37" i="1"/>
  <c r="F38" i="1"/>
  <c r="F16" i="1"/>
  <c r="F29" i="1"/>
  <c r="F20" i="1"/>
  <c r="F27" i="1"/>
  <c r="F32" i="1"/>
  <c r="F22" i="1"/>
  <c r="F15" i="1"/>
  <c r="E34" i="1"/>
  <c r="B39" i="1"/>
  <c r="B40" i="1"/>
  <c r="F25" i="1"/>
  <c r="F18" i="1"/>
  <c r="F23" i="1" l="1"/>
  <c r="F36" i="1"/>
  <c r="F24" i="1"/>
</calcChain>
</file>

<file path=xl/sharedStrings.xml><?xml version="1.0" encoding="utf-8"?>
<sst xmlns="http://schemas.openxmlformats.org/spreadsheetml/2006/main" count="2727" uniqueCount="1417">
  <si>
    <t>House estimate — cellular-concrete wall panels, cast roof, complete house</t>
  </si>
  <si>
    <t>Cellular concrete wall panels, 4' x 10' — 40' x 29.9' house, shed roof to the view · 34 wall panels 4' wide on 600S162-54 studs · roof strips per the design selector (shed / flat: 3 on 800S162-68; gable: 6 on 1000S200-97) · 2 bed · 2 bath open plan · generated 2026-09-12</t>
  </si>
  <si>
    <t>Walls →</t>
  </si>
  <si>
    <t>Roof →</t>
  </si>
  <si>
    <t>Manufacturing →</t>
  </si>
  <si>
    <t>Floor options →</t>
  </si>
  <si>
    <t>Everything else →</t>
  </si>
  <si>
    <t>Model takeoff →</t>
  </si>
  <si>
    <t>Notes →</t>
  </si>
  <si>
    <t>Choices — pick from the lists (yellow); the whole workbook follows</t>
  </si>
  <si>
    <t>Roof design</t>
  </si>
  <si>
    <t>shed</t>
  </si>
  <si>
    <t>shed = Shed roof to the view (Option 3): 12'-6" wall A, clerestory band, 1"/ft slope · flat = Flat roof, 10' walls (Option 1): 10' walls, no clerestory, 1/16"/ft slope in the top pour · gable = Gable roof, 4:12 (Option 2): 10' walls, ridge over the bearing line, 4"/ft front pitch, 6 strips on 1000S200-97, ridge beam, gable-end infill, two crane days</t>
  </si>
  <si>
    <t>Foundation</t>
  </si>
  <si>
    <t>A</t>
  </si>
  <si>
    <t>A = slab on grade with a thickened edge · B = strip footings + a cellular-concrete floor panel, site-built at builder cost · B-plant = the same footings + the floor panel bought from the plant at its sell price (Floor options tab)</t>
  </si>
  <si>
    <t>Contingency (one % on the builder's costs)</t>
  </si>
  <si>
    <t>applied once, to the subtotal LESS the panel sell-price rows (walls, roof, and the floor panel under B-plant); the plant prices its panels without it</t>
  </si>
  <si>
    <t>Floor area inside (footprint less the walls)</t>
  </si>
  <si>
    <t>the engine's inside area, the driver of the per-sf sections (the plan's rooms add up to 1066.3 sf: Living 270, Dining 120, Kitchen 181, Bedroom 1 169, Walk-in closet 42, Bath 1 49, Hall 30, Laundry 9, Bedroom 2 118, Bath 2 48, Mech / closet 30)</t>
  </si>
  <si>
    <t>Heating / cooling option and the ERV add-on are picked on the Everything else tab (HEATING block).</t>
  </si>
  <si>
    <t>Cost by section (the panels at the plant SELL PRICE from the Manufacturing tab; everything else at builder cost before contingency; green = linked)</t>
  </si>
  <si>
    <t>Section</t>
  </si>
  <si>
    <t>Materials</t>
  </si>
  <si>
    <t>Labor</t>
  </si>
  <si>
    <t>Total</t>
  </si>
  <si>
    <t>$/sf of floor</t>
  </si>
  <si>
    <t>% of total</t>
  </si>
  <si>
    <t>Basis</t>
  </si>
  <si>
    <t>Wall panels, manufactured — sell price</t>
  </si>
  <si>
    <t>Manufacturing tab: plant material + plant labor + overhead allocation + margin on the Walls Plant lines; the whole price sits in Materials</t>
  </si>
  <si>
    <t>Walls, site work</t>
  </si>
  <si>
    <t>Walls Site lines: top track, joint + cladding screws, slab anchors, cavity fill, MEP allowance; set, anchor + screw, wire and plumb, hang the cladding, pump</t>
  </si>
  <si>
    <t>Roof panels, manufactured — sell price</t>
  </si>
  <si>
    <t>Manufacturing tab: the Roof Plant lines (studs, track, channel, screws, spacers, inserts, mesh, ground pour, ground form; framing, mesh, ground-pour labor) + overhead + margin</t>
  </si>
  <si>
    <t>Roof, site work (per the design)</t>
  </si>
  <si>
    <t>Roof Site lines: top pour, rake infill and clerestory glazing (shed only), gable-end infill and ridge beam allowance (gable only), crane day(s), Eco Finish; top-pour and pick-day labor</t>
  </si>
  <si>
    <t>A: slab on grade + thickened edge · B: strip footings + floor panel, all at builder cost · B-plant: the floor panel bought from the plant (Floor options tab: plant lines + overhead + margin; the whole price sits in Materials, no contingency)</t>
  </si>
  <si>
    <t>B-plant: the Site lines of Option B — footing excavation, concrete, rebar, forms, footing labor, crane day, pick/set/level labor (builder cost with contingency); 0 under A and B</t>
  </si>
  <si>
    <t>Plumbing</t>
  </si>
  <si>
    <t>plumbing</t>
  </si>
  <si>
    <t>Electrical</t>
  </si>
  <si>
    <t>electrical</t>
  </si>
  <si>
    <t>Light fixtures</t>
  </si>
  <si>
    <t>light fixtures</t>
  </si>
  <si>
    <t>Heating/cooling</t>
  </si>
  <si>
    <t>selected option + the ERV add-on (Everything else tab, HEATING block)</t>
  </si>
  <si>
    <t>Kitchen</t>
  </si>
  <si>
    <t>kitchen</t>
  </si>
  <si>
    <t>Bathrooms</t>
  </si>
  <si>
    <t>bathrooms (beyond the plumbing fixtures)</t>
  </si>
  <si>
    <t>Flooring</t>
  </si>
  <si>
    <t>slab prep becomes the floor-panel finish under Foundation B (note only)</t>
  </si>
  <si>
    <t>Doors and windows</t>
  </si>
  <si>
    <t>clerestory windows count only for the shed design (0 for flat and gable)</t>
  </si>
  <si>
    <t>Interior finish</t>
  </si>
  <si>
    <t>interior finish</t>
  </si>
  <si>
    <t>Exterior and site</t>
  </si>
  <si>
    <t>walls carry NO exterior finish line ($0 until chosen); utilities allowance; forklift days; septic system excluded</t>
  </si>
  <si>
    <t>Soft costs</t>
  </si>
  <si>
    <t>soft costs</t>
  </si>
  <si>
    <t>Subtotal, materials + labor</t>
  </si>
  <si>
    <t>Contingency (on the subtotal less the panel sell-price rows)</t>
  </si>
  <si>
    <t>the one % at the top of this tab × the builder's own costs (site work, floor, everything else); none on the panels — the plant prices them (under B-plant the floor panel sell-price row is excluded too)</t>
  </si>
  <si>
    <t>Builder overhead and profit on the whole house</t>
  </si>
  <si>
    <t>yellow %, 15 % by default (the engine's DEFAULT_SPEC.builderOpPct; Ken, 12 Sep 2026); change it here — general-contractor markup on everything above (subtotal + contingency)</t>
  </si>
  <si>
    <t>GRAND TOTAL</t>
  </si>
  <si>
    <t>materials + labor columns are cost with contingency (the panels at their sell price); the Total adds builder O&amp;P</t>
  </si>
  <si>
    <t xml:space="preserve">   of which manufacturing profit (wall + roof panels, + the floor panel under B-plant)</t>
  </si>
  <si>
    <t>inside the sell-price rows: plant cost × the margin on the Manufacturing tab</t>
  </si>
  <si>
    <t xml:space="preserve">   of which plant overhead recovered</t>
  </si>
  <si>
    <t>inside the sell-price rows: plant hours × the overhead rate</t>
  </si>
  <si>
    <t xml:space="preserve">      floor panel share of the profit line (B-plant only, else 0)</t>
  </si>
  <si>
    <t>Manufacturing tab, Floor panels column: the floor panel's manufacturing profit</t>
  </si>
  <si>
    <t xml:space="preserve">      floor panel share of the overhead line (B-plant only, else 0)</t>
  </si>
  <si>
    <t>Manufacturing tab, Floor panels column: floor plant hours × the overhead rate</t>
  </si>
  <si>
    <t>Grand total per sf of floor (inside, plan rooms)</t>
  </si>
  <si>
    <t>inside area from docs/floor-plan.json</t>
  </si>
  <si>
    <t>Grand total per sf of floor (outside of walls)</t>
  </si>
  <si>
    <t>footprint area from the Floor options tab</t>
  </si>
  <si>
    <t>Grand total per sf of wall (gross)</t>
  </si>
  <si>
    <t>gross wall area from the Walls tab</t>
  </si>
  <si>
    <t>Walls as bought per sf of wall (gross): sell price + site work with contingency</t>
  </si>
  <si>
    <t>the wall panels alone (Walls tab); per panel in column C</t>
  </si>
  <si>
    <t>Roof as bought per sf of roof: sell price + site work with contingency</t>
  </si>
  <si>
    <t>Roof tab</t>
  </si>
  <si>
    <t>Panel sell price per wall panel (average) / per roof sf</t>
  </si>
  <si>
    <t>Manufacturing tab: what the plant charges, before any site work</t>
  </si>
  <si>
    <t>Key quantities (green = linked)</t>
  </si>
  <si>
    <t>Panels</t>
  </si>
  <si>
    <t>A 10 + B 7 + C 10 + D 7; shed model: 21 solid, 1 door, 12 window, 10 carry the clerestory band</t>
  </si>
  <si>
    <t>Wall A height (per the design)</t>
  </si>
  <si>
    <t>shed 150" / flat 120" / gable 120"; walls B, C, D are 120"</t>
  </si>
  <si>
    <t>Clerestory openings</t>
  </si>
  <si>
    <t>shed: every wall-A panel; flat and gable: 0</t>
  </si>
  <si>
    <t>Footprint</t>
  </si>
  <si>
    <t>X × Z, outside of walls</t>
  </si>
  <si>
    <t>Wall area, gross / net of openings</t>
  </si>
  <si>
    <t>doors, windows and clerestories out of the net figure</t>
  </si>
  <si>
    <t>Cellular concrete, walls, neat / to order</t>
  </si>
  <si>
    <t>skin pour + cladding + cavity fill; to order with waste</t>
  </si>
  <si>
    <t>Cellular concrete, roof, neat</t>
  </si>
  <si>
    <t>ground pour + top pour (incl. the flat build-up); rake infill (shed) or gable-end infill (gable) in column C</t>
  </si>
  <si>
    <t>Roof area (on the slope)</t>
  </si>
  <si>
    <t>strips in column D per the design; front slope factor in column C</t>
  </si>
  <si>
    <t>Gable: ridge rise above the wall tops / ridge beam (0 for shed and flat)</t>
  </si>
  <si>
    <t>ridge height = 120" + the rise; the back pitch is derived on the Roof tab; the ridge beam is the plan width long</t>
  </si>
  <si>
    <t>Portland cement on site (walls + roof + infill)</t>
  </si>
  <si>
    <t>at the lb/yd³ on the Walls tab, all with waste (rake or gable-end infill per the design)</t>
  </si>
  <si>
    <t>Stud pieces / length (walls)</t>
  </si>
  <si>
    <t>600S162-54: full studs + jambs + cripples</t>
  </si>
  <si>
    <t>Roof studs</t>
  </si>
  <si>
    <t>800S162-68 for shed / flat, 1000S200-97 for the gable</t>
  </si>
  <si>
    <t>Heaviest roof pick / panel weight at set</t>
  </si>
  <si>
    <t>one strip at the ground pour (crane; crane days in column D); tallest wall panel at set in column C (forklift boom)</t>
  </si>
  <si>
    <t>Casting cycles</t>
  </si>
  <si>
    <t>4-slot bed</t>
  </si>
  <si>
    <t>Floor options A / B site-built / B-plant (before contingency)</t>
  </si>
  <si>
    <t>slab on grade / footings + floor panel at builder cost / footings + the panel at its sell price (column D) — the selector above picks one</t>
  </si>
  <si>
    <t>Basis and exclusions</t>
  </si>
  <si>
    <t>Basis: cellular concrete at Ken's $200/yd³ cement + $20/yd³ foam (600 lb Portland/yd³, roof v6 sheet) for the walls, the roof and the Option B floor panel; ready-mix for the slab/footings at a placeholder $160/yd³. Steel at the US Frame Factory published list (May 2025; the 8" roof stud at the 6" 68-mil rate as a proxy) pending a quote. Every other price and every labor figure (hours × one loaded rate on the Walls tab) is a placeholder typed on 2026-09-12 for order-of-magnitude only — none is a quote. Walls carry NO exterior finish (Ken, 6 Sep 2026; $0 line on Everything else); the roof carries Eco Finish at $8/sf.</t>
  </si>
  <si>
    <t>Selectors: Roof design (shed / flat / gable) switches wall A height, the clerestory band, slope, overhangs, strips and stud size, rake or gable-end infill, clerestory glazing and windows, the ridge beam allowance and the crane days through the Roof tab. Foundation (A / B / B-plant) picks the Floor options column — B-plant buys the floor panel from the plant at its sell price and carries only the footings, crane and set as builder cost. Heating (A / B / C) and the ERV (yes / no) are on the Everything else tab. Contingency is applied once, here, to the builder's costs only. Manufacturing model: the wall and roof panels are bought at the plant SELL PRICE (Manufacturing tab: plant lines + overhead by plant hours + margin, placeholders in yellow); their site work is the builder's.</t>
  </si>
  <si>
    <t>Excluded: septic system, land, furniture, landscaping, appliances beyond the listed ones (refrigerator, range, dishwasher, microwave, washer + dryer), concrete pump rental, freight, sales tax, financing. The exterior wall finish is carried at $0 until chosen.</t>
  </si>
  <si>
    <t>Green numbers link to the tabs; change inputs and prices there. Blue = inputs, yellow = prices / assumptions / selectors, black = formulas.</t>
  </si>
  <si>
    <t>Walls — cellular-concrete wall panels: inputs, quantities and cost</t>
  </si>
  <si>
    <t>Cellular concrete wall panels, 4' x 10' — 40' x 29.9' house, shed roof to the view · 34 panels on 600S162-54 studs, cast flat, stood, screwed, pumped full · wall A height and the clerestory band follow the Summary roof-design selector through the Roof tab · generated 2026-09-12</t>
  </si>
  <si>
    <t>BLUE = building/panel/mix inputs (they mirror wall.config.json); YELLOW = unit prices and assumptions — replace with quotes; GREEN = linked from another tab; everything else is a formula. Cost-table Side column: Plant = cast in the bed (the product the Manufacturing tab sells), Site = the builder's work after delivery.</t>
  </si>
  <si>
    <t>← Summary</t>
  </si>
  <si>
    <t>Key figures (walls)</t>
  </si>
  <si>
    <t>A + B + C + D</t>
  </si>
  <si>
    <t>the 10 front-wall panels; the others are the panel height</t>
  </si>
  <si>
    <t>Wall area, gross / net</t>
  </si>
  <si>
    <t>net of doors, windows and clerestories in column C</t>
  </si>
  <si>
    <t>Cellular concrete, walls, neat volume</t>
  </si>
  <si>
    <t>skin pour + cladding + cavity fill, no waste</t>
  </si>
  <si>
    <t>Cellular concrete, walls, to order</t>
  </si>
  <si>
    <t>with the waste % below</t>
  </si>
  <si>
    <t>Portland cement on site (walls)</t>
  </si>
  <si>
    <t>at the lb/yd³ input</t>
  </si>
  <si>
    <t>Stud pieces (walls)</t>
  </si>
  <si>
    <t>full studs + jambs + cripples</t>
  </si>
  <si>
    <t>Walls total (materials + labor, before contingency)</t>
  </si>
  <si>
    <t>concrete at Ken's $/yd³; steel at list; other prices and all labor are placeholders</t>
  </si>
  <si>
    <t>of which plant lines / site lines</t>
  </si>
  <si>
    <t>Side column of the cost table: Plant = the product (priced on the Manufacturing tab), Site = builder cost</t>
  </si>
  <si>
    <t>Building &amp; panel inputs (from wall.config.json)</t>
  </si>
  <si>
    <t>Panels along X (walls A and C, each)</t>
  </si>
  <si>
    <t>ea</t>
  </si>
  <si>
    <t>wall A runs along +X at the front (the view), C at the back</t>
  </si>
  <si>
    <t>Panels along Z (walls B and D, each)</t>
  </si>
  <si>
    <t>B and D fit between A and C</t>
  </si>
  <si>
    <t>Panel width</t>
  </si>
  <si>
    <t>in</t>
  </si>
  <si>
    <t>4'</t>
  </si>
  <si>
    <t>Panel height (walls B, C, D)</t>
  </si>
  <si>
    <t>10' for a 9' ceiling; studs run this way; config panel.height</t>
  </si>
  <si>
    <t>Wall A height (per the roof design)</t>
  </si>
  <si>
    <t>linked to the Roof tab: 150 for the shed design, 120 for flat, 120 for gable; the 10 wall-A panels are cast this tall</t>
  </si>
  <si>
    <t>Clerestory band active (1 = shed design, 0 = flat / gable)</t>
  </si>
  <si>
    <t>linked to the Roof tab (Summary selector); zeroes every clerestory quantity for the flat and gable designs</t>
  </si>
  <si>
    <t>Interior skin (finish face, cast on the liner)</t>
  </si>
  <si>
    <t>Channel depth</t>
  </si>
  <si>
    <t>cold-rolled channel zone with the mesh</t>
  </si>
  <si>
    <t>Stud depth</t>
  </si>
  <si>
    <t>Exterior cladding sheet</t>
  </si>
  <si>
    <t>cellular-concrete sheet with mesh, screwed to the exterior stud flanges</t>
  </si>
  <si>
    <t>Skin pour depth (in the bed)</t>
  </si>
  <si>
    <t>skin + channel zone + a bite into the studs; the rest of the cavity is pumped full later</t>
  </si>
  <si>
    <t>Stud spacing</t>
  </si>
  <si>
    <t>in o.c.</t>
  </si>
  <si>
    <t>Stud flange width</t>
  </si>
  <si>
    <t>jamb studs sit one flange outside the opening; edge stud rule: last regular stud sits inside the edge</t>
  </si>
  <si>
    <t>Channel row spacing</t>
  </si>
  <si>
    <t>rows up the panel height</t>
  </si>
  <si>
    <t>First/last channel row from the ends</t>
  </si>
  <si>
    <t>Mesh layers (skin + cladding)</t>
  </si>
  <si>
    <t>layers</t>
  </si>
  <si>
    <t>mesh.inSkin = True, mesh.inCladding = True</t>
  </si>
  <si>
    <t>Screws per channel/stud crossing</t>
  </si>
  <si>
    <t>Screws per stud-segment end (to track, header or sill)</t>
  </si>
  <si>
    <t>assumption: 2 per flange each end (not in the model config)</t>
  </si>
  <si>
    <t>Joint screws per panel-to-panel joint</t>
  </si>
  <si>
    <t>#10-16 x 3/4" self-drilling, edge stud to edge stud; joints = panels (closed loop)</t>
  </si>
  <si>
    <t>Cladding screws per panel</t>
  </si>
  <si>
    <t>assumption: sheet to the exterior stud flanges (not in the model config)</t>
  </si>
  <si>
    <t>Slab anchors per panel</t>
  </si>
  <si>
    <t>0.5" dia. through the bottom track; spec is an open item</t>
  </si>
  <si>
    <t>Outlet boxes per non-door panel</t>
  </si>
  <si>
    <t>at 16"; door panels get a switch instead</t>
  </si>
  <si>
    <t>Outlet height</t>
  </si>
  <si>
    <t>conduit runs from the box up to the top of the panel, or stops under the lowest opening on its stud line</t>
  </si>
  <si>
    <t>Switch height (door panels)</t>
  </si>
  <si>
    <t>Plumbing panels (drain + hot/cold supplies)</t>
  </si>
  <si>
    <t>wall C panels [3, 5, 7]; drain to the top (or the sill of a window over it), supplies to 40 % of the height</t>
  </si>
  <si>
    <t>Bed slots (panels per casting cycle)</t>
  </si>
  <si>
    <t>one reusable bed, slots sized for the tallest panel</t>
  </si>
  <si>
    <t>Openings (from wall.config.json; door/window centred in the width, plus the clerestory band on every wall-A panel in the shed design)</t>
  </si>
  <si>
    <t>Clerestory band (roof.clerestory) on wall A: panels</t>
  </si>
  <si>
    <t>shed: every wall-A panel carries one above its door/window (= panels along that wall); flat: 0</t>
  </si>
  <si>
    <t xml:space="preserve">   clerestory width</t>
  </si>
  <si>
    <t xml:space="preserve">   clerestory height</t>
  </si>
  <si>
    <t xml:space="preserve">   clerestory sill height</t>
  </si>
  <si>
    <t>above the 10' line; sill + height must fit the wall A height (audit)</t>
  </si>
  <si>
    <t>Door + clerestory panels: count</t>
  </si>
  <si>
    <t>door 36x84 + clerestory 40x24 sill 120 at panels A1 (HA tall) — shed design only (× the clerestory flag)</t>
  </si>
  <si>
    <t xml:space="preserve">   door width</t>
  </si>
  <si>
    <t xml:space="preserve">   door height</t>
  </si>
  <si>
    <t xml:space="preserve">   door sill height</t>
  </si>
  <si>
    <t>0 for a door (no sill piece, no cripples below)</t>
  </si>
  <si>
    <t>Window + clerestory panels: count</t>
  </si>
  <si>
    <t>window 40x72 sill 24 + clerestory 40x24 sill 120 at panels A2, A3, A4, A5, A6, A7, A8 (HA tall) — shed design only (× the clerestory flag)</t>
  </si>
  <si>
    <t xml:space="preserve">   window width</t>
  </si>
  <si>
    <t xml:space="preserve">   window height</t>
  </si>
  <si>
    <t xml:space="preserve">   window sill height</t>
  </si>
  <si>
    <t>Window panels: count</t>
  </si>
  <si>
    <t>window 36x48 sill 42 at panels B1, C1, C8, D2 (H tall) — all three designs</t>
  </si>
  <si>
    <t>window 24x24 sill 60 at panels C5 (H tall) — all three designs</t>
  </si>
  <si>
    <t>Door panels: count</t>
  </si>
  <si>
    <t>door 36x84 at panels A1 (HA tall) — flat + gable design only (× 1 − the clerestory flag)</t>
  </si>
  <si>
    <t>window 40x72 sill 24 at panels A2, A3, A4, A5, A6, A7, A8 (HA tall) — flat + gable design only (× 1 − the clerestory flag)</t>
  </si>
  <si>
    <t>Solid + clerestory panels: count</t>
  </si>
  <si>
    <t>clerestory 40x24 sill 120 at panels A0, A9 (HA tall) — shed design only: wall A panels less the door/window panels, × the clerestory flag</t>
  </si>
  <si>
    <t>Cellular concrete mix &amp; ordering assumptions</t>
  </si>
  <si>
    <t>Cast density (skin pour and cladding)</t>
  </si>
  <si>
    <t>pcf</t>
  </si>
  <si>
    <t>config concrete.densityPcf</t>
  </si>
  <si>
    <t>Cavity fill density (pumped)</t>
  </si>
  <si>
    <t>config concrete.fillDensityPcf; open item — confirm with the supplier</t>
  </si>
  <si>
    <t>Portland cement per cubic yard</t>
  </si>
  <si>
    <t>lb/yd³</t>
  </si>
  <si>
    <t>Ken's basis (roof v6 sheet, 6 Sep 2026); water makes up the rest of the cast density (no sand)</t>
  </si>
  <si>
    <t>Cement price per cubic yard of concrete</t>
  </si>
  <si>
    <t>$/yd³</t>
  </si>
  <si>
    <t>Ken's basis: ≈ $200 per yd³ of cellular concrete at 600 lb/yd³ — replace with the supplier quote</t>
  </si>
  <si>
    <t>Foam price per cubic yard of concrete</t>
  </si>
  <si>
    <t>Ken's basis: ≈ $20 per yd³ (foaming agent + generator) — replace with the supplier quote</t>
  </si>
  <si>
    <t>Cement sack weight</t>
  </si>
  <si>
    <t>lb</t>
  </si>
  <si>
    <t>US sack</t>
  </si>
  <si>
    <t>Concrete waste / over-order</t>
  </si>
  <si>
    <t>%</t>
  </si>
  <si>
    <t>pump line, bed leakage, screed</t>
  </si>
  <si>
    <t>Mesh lap &amp; waste</t>
  </si>
  <si>
    <t>Mesh roll coverage</t>
  </si>
  <si>
    <t>sf/roll</t>
  </si>
  <si>
    <t>e.g. 3.3' × 164' roll; change to your supplier's roll</t>
  </si>
  <si>
    <t>Steel cut waste (track, channel, cripples)</t>
  </si>
  <si>
    <t>offcuts when 4' pieces and short cripples come out of stock sticks</t>
  </si>
  <si>
    <t>Stud stock length</t>
  </si>
  <si>
    <t>ft</t>
  </si>
  <si>
    <t>full studs and jambs are exactly the panel height (10' or 12'-6"); order cut-to-length</t>
  </si>
  <si>
    <t>Track stock length</t>
  </si>
  <si>
    <t>Channel stock length</t>
  </si>
  <si>
    <t>CRC is sold in 10 ft and 16 ft pieces</t>
  </si>
  <si>
    <t>Contingency (one % for the whole house)</t>
  </si>
  <si>
    <t>linked to the Summary — change it there</t>
  </si>
  <si>
    <t>Labor assumptions (placeholders — set your crew rate and productivity)</t>
  </si>
  <si>
    <t>Loaded labor rate</t>
  </si>
  <si>
    <t>$/man-hour</t>
  </si>
  <si>
    <t>wages + burden; one rate for every labor line in the workbook (walls, roof, floor, everything else)</t>
  </si>
  <si>
    <t>Bed setup (one-time)</t>
  </si>
  <si>
    <t>man-hours</t>
  </si>
  <si>
    <t>level the pad, edge forms, liner; the bed is reused every casting cycle</t>
  </si>
  <si>
    <t>Framing (track, studs, jambs, cripples, headers, channel, screws)</t>
  </si>
  <si>
    <t>man-hours / gross sf</t>
  </si>
  <si>
    <t>flat assembly in the bed</t>
  </si>
  <si>
    <t>Mesh and spacers</t>
  </si>
  <si>
    <t>man-hours / net sf</t>
  </si>
  <si>
    <t>both layers (skin pour + cladding sheets)</t>
  </si>
  <si>
    <t>Bed pours (skin pour + cladding sheets)</t>
  </si>
  <si>
    <t>man-hours / yd³</t>
  </si>
  <si>
    <t>foam generator + mixer + placing crew</t>
  </si>
  <si>
    <t>Set a panel (stand, plumb, brace)</t>
  </si>
  <si>
    <t>man-hours / panel</t>
  </si>
  <si>
    <t>forklift-boom lift; equipment rental is on the Everything else tab (Exterior and site)</t>
  </si>
  <si>
    <t>Slab anchors + joint screws</t>
  </si>
  <si>
    <t>Wire and plumb the cavity (rough-in)</t>
  </si>
  <si>
    <t>boxes, conduit, drain and supplies before the cladding closes the cavity</t>
  </si>
  <si>
    <t>Hang the cladding sheet</t>
  </si>
  <si>
    <t>Pump the cavity fill</t>
  </si>
  <si>
    <t>in 48" lifts</t>
  </si>
  <si>
    <t>Derived quantities (formulas — they reproduce the 3D model; see the Model takeoff tab)</t>
  </si>
  <si>
    <t>Panels at H (walls BCD)</t>
  </si>
  <si>
    <t>Panels at HA (walls A)</t>
  </si>
  <si>
    <t>Panels with an opening (door, window or clerestory)</t>
  </si>
  <si>
    <t>Solid panels at H</t>
  </si>
  <si>
    <t>no opening at all</t>
  </si>
  <si>
    <t>Solid panels at HA</t>
  </si>
  <si>
    <t>Solid panels</t>
  </si>
  <si>
    <t>Tallest panel</t>
  </si>
  <si>
    <t>sizes the bed slot (liner, edge forms) and the heaviest wall pick</t>
  </si>
  <si>
    <t>Wall thickness</t>
  </si>
  <si>
    <t>contract: 2 + 1.5 + 6 + 2 = 11.5</t>
  </si>
  <si>
    <t>Cavity fill depth</t>
  </si>
  <si>
    <t>stud zone left after the skin pour</t>
  </si>
  <si>
    <t>Footprint X</t>
  </si>
  <si>
    <t>Footprint Z</t>
  </si>
  <si>
    <t>B/D panels fit between A and C</t>
  </si>
  <si>
    <t>Perimeter (top track)</t>
  </si>
  <si>
    <t>lf</t>
  </si>
  <si>
    <t>outer footprint</t>
  </si>
  <si>
    <t>Panel face area (standard panel)</t>
  </si>
  <si>
    <t>sf</t>
  </si>
  <si>
    <t>Bed slot area (tallest panel)</t>
  </si>
  <si>
    <t>Gross wall area</t>
  </si>
  <si>
    <t>panels at each height × width × height</t>
  </si>
  <si>
    <t>Opening area (doors, windows, clerestories)</t>
  </si>
  <si>
    <t>Net wall area (concrete, mesh)</t>
  </si>
  <si>
    <t>Regular studs per panel (at 0, spacing, 2×spacing …)</t>
  </si>
  <si>
    <t>last regular stud must sit inside the far edge by a flange</t>
  </si>
  <si>
    <t>Studs per solid panel</t>
  </si>
  <si>
    <t>regular studs plus the closing edge stud (matches the model)</t>
  </si>
  <si>
    <t>Channel rows per panel at H</t>
  </si>
  <si>
    <t>rows from the first station at row spacing, plus a closing row at the far end (matches the model)</t>
  </si>
  <si>
    <t>Channel rows per panel at HA</t>
  </si>
  <si>
    <t>door 36x84 + clerestory 40x24 sill 120 panels (HA tall, 1 of them — shed design only)</t>
  </si>
  <si>
    <t xml:space="preserve">   door: studs interrupted by the opening</t>
  </si>
  <si>
    <t>ea/panel</t>
  </si>
  <si>
    <t>regular studs whose line falls between (opening edge − flange) and the far opening edge</t>
  </si>
  <si>
    <t xml:space="preserve">   door: cripple above the head (1/0)</t>
  </si>
  <si>
    <t xml:space="preserve">   door: cripple below the sill (1/0)</t>
  </si>
  <si>
    <t xml:space="preserve">   door: channel rows crossing the opening</t>
  </si>
  <si>
    <t>rows whose station lies between the sill and the head lose the span across the opening</t>
  </si>
  <si>
    <t xml:space="preserve">   door: rows exactly on the sill / head (still cross the cripple ending there)</t>
  </si>
  <si>
    <t>a row station on the sill or head is deducted from the channel AND counted as a crossing</t>
  </si>
  <si>
    <t xml:space="preserve">   clerestory: studs interrupted by the opening</t>
  </si>
  <si>
    <t xml:space="preserve">   clerestory: cripple above the head (1/0)</t>
  </si>
  <si>
    <t xml:space="preserve">   clerestory: cripple below the sill (1/0)</t>
  </si>
  <si>
    <t xml:space="preserve">   clerestory: channel rows crossing the opening</t>
  </si>
  <si>
    <t xml:space="preserve">   clerestory: rows exactly on the sill / head (still cross the cripple ending there)</t>
  </si>
  <si>
    <t xml:space="preserve">   gap between the head and the clerestory sill (1/0)</t>
  </si>
  <si>
    <t>a cripple runs between the two openings when the sill is above the head</t>
  </si>
  <si>
    <t xml:space="preserve">   studs crossing both openings</t>
  </si>
  <si>
    <t>openings are centred, so the narrower one's studs are a subset of the wider one's</t>
  </si>
  <si>
    <t xml:space="preserve">   studs interrupted (either opening)</t>
  </si>
  <si>
    <t xml:space="preserve">   cripples per panel</t>
  </si>
  <si>
    <t>below the sill, between the openings, above the clerestory head</t>
  </si>
  <si>
    <t xml:space="preserve">   cripple length per panel</t>
  </si>
  <si>
    <t>lf/panel</t>
  </si>
  <si>
    <t xml:space="preserve">   jamb studs per panel</t>
  </si>
  <si>
    <t>the two openings share jamb lines when they are the same width</t>
  </si>
  <si>
    <t xml:space="preserve">   header/sill pieces per panel</t>
  </si>
  <si>
    <t xml:space="preserve">   header/sill length per panel</t>
  </si>
  <si>
    <t>jamb to jamb</t>
  </si>
  <si>
    <t xml:space="preserve">   channel/stud crossings per panel</t>
  </si>
  <si>
    <t>full studs + jambs on every row; cripples only on rows outside the openings they end at</t>
  </si>
  <si>
    <t xml:space="preserve">   channel per panel</t>
  </si>
  <si>
    <t xml:space="preserve">   stud segments per panel</t>
  </si>
  <si>
    <t xml:space="preserve">   full-height studs + jambs per panel</t>
  </si>
  <si>
    <t xml:space="preserve">   conduit per box</t>
  </si>
  <si>
    <t>switch to the top on a door panel; outlet to the sill of the opening over it (or the top when the sill is below the box)</t>
  </si>
  <si>
    <t>window 40x72 sill 24 + clerestory 40x24 sill 120 panels (HA tall, 7 of them — shed design only)</t>
  </si>
  <si>
    <t xml:space="preserve">   window: studs interrupted by the opening</t>
  </si>
  <si>
    <t xml:space="preserve">   window: cripple above the head (1/0)</t>
  </si>
  <si>
    <t xml:space="preserve">   window: cripple below the sill (1/0)</t>
  </si>
  <si>
    <t xml:space="preserve">   window: channel rows crossing the opening</t>
  </si>
  <si>
    <t xml:space="preserve">   window: rows exactly on the sill / head (still cross the cripple ending there)</t>
  </si>
  <si>
    <t>window 36x48 sill 42 panels (H tall, 4 of them — all three designs)</t>
  </si>
  <si>
    <t xml:space="preserve">   studs interrupted</t>
  </si>
  <si>
    <t>below the sill + above the head</t>
  </si>
  <si>
    <t>full studs + 2 jambs on every row; cripples only on rows outside the opening</t>
  </si>
  <si>
    <t>window 24x24 sill 60 panels (H tall, 1 of them — all three designs)</t>
  </si>
  <si>
    <t>door 36x84 panels (HA tall, 1 of them — flat + gable design only)</t>
  </si>
  <si>
    <t>window 40x72 sill 24 panels (HA tall, 7 of them — flat + gable design only)</t>
  </si>
  <si>
    <t>clerestory 40x24 sill 120 panels (HA tall, 2 of them — shed design only)</t>
  </si>
  <si>
    <t>Full-height studs</t>
  </si>
  <si>
    <t>solid panels × studs + opening panels × uninterrupted studs</t>
  </si>
  <si>
    <t>Jamb studs (full height)</t>
  </si>
  <si>
    <t>Cripple studs</t>
  </si>
  <si>
    <t>Cripple length</t>
  </si>
  <si>
    <t>Stud pieces</t>
  </si>
  <si>
    <t>Full-height stud + jamb pieces at H</t>
  </si>
  <si>
    <t>cut to H</t>
  </si>
  <si>
    <t>Full-height stud + jamb pieces at HA</t>
  </si>
  <si>
    <t>cut to HA</t>
  </si>
  <si>
    <t>Full-height stud + jamb length</t>
  </si>
  <si>
    <t>pieces at each height × that height</t>
  </si>
  <si>
    <t>Stud total length</t>
  </si>
  <si>
    <t>Header/sill pieces</t>
  </si>
  <si>
    <t>Header/sill length</t>
  </si>
  <si>
    <t>Panel track (bottom + top)</t>
  </si>
  <si>
    <t>2 pieces × panel width per panel</t>
  </si>
  <si>
    <t>Track total (panel + header/sill + top track)</t>
  </si>
  <si>
    <t>Channel length (less openings)</t>
  </si>
  <si>
    <t>Channel/stud crossings (= spacers)</t>
  </si>
  <si>
    <t>Stud segments (ends screwed to track)</t>
  </si>
  <si>
    <t>Door panels</t>
  </si>
  <si>
    <t>MEP boxes (outlets + switches)</t>
  </si>
  <si>
    <t>Conduit</t>
  </si>
  <si>
    <t>solid panels: box to the top; opening panels: per the group conduit line</t>
  </si>
  <si>
    <t>Drain / vent</t>
  </si>
  <si>
    <t>3 plumbing panel(s): full height, or up to the sill of a window over the drain line</t>
  </si>
  <si>
    <t>Supply (hot + cold)</t>
  </si>
  <si>
    <t>two runs to 40 % of the panel height per plumbing panel</t>
  </si>
  <si>
    <t>Skin pour volume</t>
  </si>
  <si>
    <t>yd³</t>
  </si>
  <si>
    <t>net area × skin pour depth (cast in the bed)</t>
  </si>
  <si>
    <t>Cladding sheet volume</t>
  </si>
  <si>
    <t>net area × cladding thickness (cast in the bed with mesh)</t>
  </si>
  <si>
    <t>Cavity fill volume</t>
  </si>
  <si>
    <t>net area × fill depth (pumped after the cladding is on)</t>
  </si>
  <si>
    <t>Total cellular concrete, walls, neat</t>
  </si>
  <si>
    <t>Total cellular concrete, walls, to order</t>
  </si>
  <si>
    <t>with waste</t>
  </si>
  <si>
    <t>Cement sacks per cubic yard</t>
  </si>
  <si>
    <t>sacks/yd³</t>
  </si>
  <si>
    <t>Panel weight at set (standard panel: skin pour + steel)</t>
  </si>
  <si>
    <t>3 psf steel allowance; sizes the forklift boom</t>
  </si>
  <si>
    <t>Panel weight at set (tallest panel)</t>
  </si>
  <si>
    <t>the wall-A panels in the shed design</t>
  </si>
  <si>
    <t>Bed liner</t>
  </si>
  <si>
    <t>slots × slot area (no lap)</t>
  </si>
  <si>
    <t>Bed edge form</t>
  </si>
  <si>
    <t>around each slot</t>
  </si>
  <si>
    <t>cycles</t>
  </si>
  <si>
    <t>panels ÷ bed slots</t>
  </si>
  <si>
    <t>Materials &amp; labor — walls (Type = Material or Labor; Side = Plant or Site; the subtotals split by type, the plant/site block by side)</t>
  </si>
  <si>
    <t>Item</t>
  </si>
  <si>
    <t>Qty</t>
  </si>
  <si>
    <t>Unit</t>
  </si>
  <si>
    <t>Type</t>
  </si>
  <si>
    <t>Side</t>
  </si>
  <si>
    <t>Spec / size</t>
  </si>
  <si>
    <t>Unit cost ($)</t>
  </si>
  <si>
    <t>Material ($)</t>
  </si>
  <si>
    <t>Labor ($)</t>
  </si>
  <si>
    <t>Total ($)</t>
  </si>
  <si>
    <t>Basis / notes</t>
  </si>
  <si>
    <t>STEEL (walls)</t>
  </si>
  <si>
    <t>Studs 600S162-54, full height + jambs</t>
  </si>
  <si>
    <t>Material</t>
  </si>
  <si>
    <t>Plant</t>
  </si>
  <si>
    <t>6" web, 1.625" flange, 54 mil (16 ga) 50 ksi, cut to 10' / 12.5'</t>
  </si>
  <si>
    <t>$1.94/lf 600S162-54 — US Frame Factory published list, updated 5/1/2025 (usframefactory.com/current-metal-stud-pricing) — not a quote; = pieces × panel height per wall (106 studs + 32 jambs in the shed model)</t>
  </si>
  <si>
    <t>Studs 600S162-54, cripples</t>
  </si>
  <si>
    <t>short pieces above the heads, between the window and the clerestory, and below the sills, cut from stock</t>
  </si>
  <si>
    <t>same rate; cripple lf × (1 + cut waste) (74 pcs, 176 lf in the shed model)</t>
  </si>
  <si>
    <t>Track 600T125-54, panel bottom + top</t>
  </si>
  <si>
    <t>6" web, 1.25" leg, 54 mil; 2 × 48" per panel</t>
  </si>
  <si>
    <t>600T125-54 was not listed; carried at the 600T200-54 rate $1.94/lf — US Frame Factory published list, updated 5/1/2025 (usframefactory.com/current-metal-stud-pricing) — not a quote; lf × (1 + cut waste)</t>
  </si>
  <si>
    <t>Track 600T125-54, headers + sills</t>
  </si>
  <si>
    <t>jamb to jamb at each door, window and clerestory</t>
  </si>
  <si>
    <t>same track rate; 45 pieces in the shed model</t>
  </si>
  <si>
    <t>Top track 600T125-54, continuous</t>
  </si>
  <si>
    <t>Site</t>
  </si>
  <si>
    <t>ties the wall tops for the roof; outer footprint perimeter (sloped on walls B/D over the rake infill in the shed design)</t>
  </si>
  <si>
    <t>same track rate; 139.8 lf in the shed model</t>
  </si>
  <si>
    <t>Cold-rolled channel 1.5"</t>
  </si>
  <si>
    <t>1.5" x 0.5" CRC 150U50-54, 54 mil (16 ga)</t>
  </si>
  <si>
    <t>$11.67 per 16 ft piece = $0.73/lf — US Frame Factory published list, updated 5/1/2025 (usframefactory.com/current-metal-stud-pricing) — not a quote; rows × width less the opening spans, × (1 + cut waste)</t>
  </si>
  <si>
    <t>Screws, channel to stud</t>
  </si>
  <si>
    <t>#10-16 self-drilling, through the channel into the stud flange</t>
  </si>
  <si>
    <t>placeholder price — replace with a quote; crossings × screws per crossing</t>
  </si>
  <si>
    <t>Screws, stud to track / header / sill</t>
  </si>
  <si>
    <t>#10-16 self-drilling</t>
  </si>
  <si>
    <t>placeholder price — replace with a quote; stud segments × 2 ends × screws per end (assumption)</t>
  </si>
  <si>
    <t>Screws, panel joints</t>
  </si>
  <si>
    <t>#10-16 x 3/4" self-drilling, edge stud to edge stud</t>
  </si>
  <si>
    <t>placeholder price — replace with a quote; joints = panels (closed loop) × screws per joint; pattern is an open item for the PE</t>
  </si>
  <si>
    <t>Screws, cladding sheet</t>
  </si>
  <si>
    <t>to the exterior stud flanges</t>
  </si>
  <si>
    <t>placeholder price — replace with a quote; panels × screws per panel (assumption)</t>
  </si>
  <si>
    <t>Slab anchors</t>
  </si>
  <si>
    <t>0.5" wedge/screw anchor through the bottom track (PE to spec)</t>
  </si>
  <si>
    <t>placeholder price — replace with a quote; panels × anchors per panel</t>
  </si>
  <si>
    <t>Steel subtotal</t>
  </si>
  <si>
    <t>MESH (walls)</t>
  </si>
  <si>
    <t>Basalt mesh</t>
  </si>
  <si>
    <t>1" grid; one layer on the channel in the skin pour, one in the cladding sheet</t>
  </si>
  <si>
    <t>placeholder price — replace with a quote; net area × layers × (1 + lap)</t>
  </si>
  <si>
    <t>Mesh rolls to order</t>
  </si>
  <si>
    <t>rolls</t>
  </si>
  <si>
    <t>whole rolls at the roll coverage above</t>
  </si>
  <si>
    <t>info line: price the mesh by sf above OR by roll here (set one of the two prices to 0)</t>
  </si>
  <si>
    <t>Mesh subtotal</t>
  </si>
  <si>
    <t>CELLULAR CONCRETE, walls (site-mixed: Portland cement + water + pre-formed foam)</t>
  </si>
  <si>
    <t>Skin pour (cast in the bed)</t>
  </si>
  <si>
    <t>35 pcf, 5" deep over the net area, with waste</t>
  </si>
  <si>
    <t>cement + foam $/yd³ from the mix block (Ken's basis $200 + $20)</t>
  </si>
  <si>
    <t>Cladding sheets (cast in the bed)</t>
  </si>
  <si>
    <t>35 pcf, 2" sheets with mesh, with waste</t>
  </si>
  <si>
    <t>same $/yd³</t>
  </si>
  <si>
    <t>Cavity fill (pumped)</t>
  </si>
  <si>
    <t>30 pcf lightweight fill in 48" lifts, with waste</t>
  </si>
  <si>
    <t>same $/yd³; a lighter fill mix may use less cement — confirm with the supplier</t>
  </si>
  <si>
    <t xml:space="preserve">   Portland cement (info)</t>
  </si>
  <si>
    <t>$200/yd³ × total yd³ to order = the cement share of the three lines above</t>
  </si>
  <si>
    <t>info only — cement is already priced in the three pour lines (cement $/yd³ input)</t>
  </si>
  <si>
    <t xml:space="preserve">   Foam, pre-formed incl. concentrate (info)</t>
  </si>
  <si>
    <t>$20/yd³ × total yd³ to order = the foam share of the three lines above</t>
  </si>
  <si>
    <t>info only — foam is already priced in the three pour lines (foam $/yd³ input)</t>
  </si>
  <si>
    <t xml:space="preserve">   Cement weight (info)</t>
  </si>
  <si>
    <t>total Portland to have on site for the walls</t>
  </si>
  <si>
    <t>info: = yd³ to order × lb/yd³; ÷ 2000 for tons</t>
  </si>
  <si>
    <t xml:space="preserve">   Cement sacks (info)</t>
  </si>
  <si>
    <t>sacks</t>
  </si>
  <si>
    <t>94-lb sacks</t>
  </si>
  <si>
    <t>info only</t>
  </si>
  <si>
    <t>Concrete subtotal</t>
  </si>
  <si>
    <t>SPACERS (walls)</t>
  </si>
  <si>
    <t>Spacer blocks 2" tall</t>
  </si>
  <si>
    <t>4" × 4" × 2" chairs/blocks under every channel row at each stud line</t>
  </si>
  <si>
    <t>placeholder price — replace with a quote; channel/stud crossings (rows × studs per panel, less the openings)</t>
  </si>
  <si>
    <t>Spacers subtotal</t>
  </si>
  <si>
    <t>FORM (one reusable casting bed, slots sized for the tallest panel)</t>
  </si>
  <si>
    <t>Plastic liner</t>
  </si>
  <si>
    <t>6-mil poly on the bed, 4 slots, 10 % lap; the interior finish is cast against it</t>
  </si>
  <si>
    <t>placeholder price — replace with a quote; re-lined per cycle if damaged — the model counts 9 casting cycles</t>
  </si>
  <si>
    <t>Edge form lumber</t>
  </si>
  <si>
    <t>2×8 (8" tall) around each slot, reused every cycle; a movable end board shortens the slot for the 10' panels</t>
  </si>
  <si>
    <t>placeholder price — replace with a quote; one set for the bed, not per panel</t>
  </si>
  <si>
    <t>Form subtotal</t>
  </si>
  <si>
    <t>MEP ALLOWANCE (rough-in material in the open cavity; placeholder unit prices)</t>
  </si>
  <si>
    <t>Outlet + switch boxes</t>
  </si>
  <si>
    <t>1 outlet per panel at 16"; a switch at 48" on door panels</t>
  </si>
  <si>
    <t>placeholder price — replace with a quote; device, wire and cover are on the Everything else tab (Electrical)</t>
  </si>
  <si>
    <t>Conduit 0.75"</t>
  </si>
  <si>
    <t>box to the top of the panel (top track), or to the sill of the opening above the box</t>
  </si>
  <si>
    <t>placeholder price — replace with a quote; wire and fittings not included</t>
  </si>
  <si>
    <t>Drain / vent 2"</t>
  </si>
  <si>
    <t>in the 3 plumbing panels</t>
  </si>
  <si>
    <t>placeholder price — replace with a quote</t>
  </si>
  <si>
    <t>Supply 0.75" (hot + cold)</t>
  </si>
  <si>
    <t>MEP subtotal</t>
  </si>
  <si>
    <t>LABOR, walls (steel, concrete, set, connections, MEP rough-in, cladding, fill) — Type = Labor</t>
  </si>
  <si>
    <t>Bed setup</t>
  </si>
  <si>
    <t>one-time; the bed is reused every cycle</t>
  </si>
  <si>
    <t>hours × loaded rate</t>
  </si>
  <si>
    <t>Framing in the bed</t>
  </si>
  <si>
    <t>gross wall area × man-hours per sf</t>
  </si>
  <si>
    <t>net area × man-hours per sf</t>
  </si>
  <si>
    <t>yd³ placed × man-hours per yd³</t>
  </si>
  <si>
    <t>Set the panels</t>
  </si>
  <si>
    <t>panels × man-hours per panel</t>
  </si>
  <si>
    <t>hours × loaded rate; forklift/boom rental is on the Everything else tab</t>
  </si>
  <si>
    <t>Wire and plumb (rough-in)</t>
  </si>
  <si>
    <t>hours × loaded rate; licensed trades may price this separately</t>
  </si>
  <si>
    <t>Hang the cladding</t>
  </si>
  <si>
    <t>hours × loaded rate; pump rental NOT included</t>
  </si>
  <si>
    <t>Labor subtotal</t>
  </si>
  <si>
    <t>WALLS TOTAL (materials + labor, before contingency)</t>
  </si>
  <si>
    <t>Plant / site split of the walls lines (manufacturing model — the Manufacturing tab prices the Plant lines as a product)</t>
  </si>
  <si>
    <t>Plant (cast in the bed / yard): materials + labor</t>
  </si>
  <si>
    <t>SUMIFS over Type + Side of the table above; what leaves the plant as a product (no contingency on it — the plant prices it)</t>
  </si>
  <si>
    <t>Plant labor hours (Σ Qty of the Plant Labor lines)</t>
  </si>
  <si>
    <t>carries the plant overhead: hours × the overhead rate on the Manufacturing tab</t>
  </si>
  <si>
    <t>Site (after the panels leave the plant): materials + labor</t>
  </si>
  <si>
    <t>the builder's own cost on the Summary (with contingency)</t>
  </si>
  <si>
    <t>Check: plant + site − total (must be 0; a line with a blank Side is missed)</t>
  </si>
  <si>
    <t>Walls as the house buys them: panel sell price (Manufacturing tab) + site work with the Summary contingency</t>
  </si>
  <si>
    <t>no contingency on the sell price (the plant's waste factors are in its lines); the builder's own site work carries it</t>
  </si>
  <si>
    <t>Cost per panel, as bought (sell price + site work with contingency)</t>
  </si>
  <si>
    <t>Cost per sf of wall, gross, as bought</t>
  </si>
  <si>
    <t>Cost per sf of wall, net of openings, as bought</t>
  </si>
  <si>
    <t>This tab: the wall panels only. The roof is on the Roof tab, the plant overhead, margin and sell price on the Manufacturing tab, the slab/footings on Floor options, doors, windows, fixtures, finishes, site and soft costs on Everything else; the Summary adds them up. Labor hours and the rate are placeholders.</t>
  </si>
  <si>
    <t>Prices are placeholders typed in by Claude on 2026-09-12 for order-of-magnitude only; none is a quote. Replace every yellow price cell.</t>
  </si>
  <si>
    <t>Roof — shed roof to the view (Option 3), flat roof (Option 1) or gable 4:12 (Option 2), per the Summary selector</t>
  </si>
  <si>
    <t>Roof panels of the roof-project design: strips cast flat in the yard to the ground pour, craned up, topped and coated. Shed: 3 strips on 800S162-68 studs, the plane rises 1"/ft to wall A (150" tall), clerestory band on every wall-A panel, rake infill on walls B/D. Flat: every wall 120" tall, no clerestory, a 0.0625"/ft drainage slope built into the top pour, 12" front overhang. Gable (docs/gable-roof.md): ridge along X over roof.ridgeZ = 191.5" from the outside face of wall A, front pitch 4"/ft (the back pitch follows from the back run), both eaves on the 120" wall tops, 6 strips = 3 per slope on 1000S200-97 studs, 24/24/12" overhangs, a steel ridge beam on posts, triangular gable-end infill on walls B/D, two crane days. generated 2026-09-12</t>
  </si>
  <si>
    <t>Roof design (from the Summary selector) — the three preset columns are wall.config.json designs.shed / flat / gable</t>
  </si>
  <si>
    <t>change it on the Summary tab (shed / flat / gable); every IF() below keys off this cell</t>
  </si>
  <si>
    <t>Design-driven input</t>
  </si>
  <si>
    <t>Active value</t>
  </si>
  <si>
    <t>flat</t>
  </si>
  <si>
    <t>gable</t>
  </si>
  <si>
    <t>Note</t>
  </si>
  <si>
    <t>Wall A height (feeds the Walls tab)</t>
  </si>
  <si>
    <t>shed: panel height + the rise over the footprint depth; flat and gable: the panel height (both gable eaves sit on the 10' wall tops); the Walls tab links here, so every wall quantity follows the design</t>
  </si>
  <si>
    <t>Clerestory band on wall A (1 = every wall-A panel carries one)</t>
  </si>
  <si>
    <t>flag</t>
  </si>
  <si>
    <t>shed only; the Walls tab clerestory count and the clerestory window line on Everything else multiply by this</t>
  </si>
  <si>
    <t>Roof slope (front pitch)</t>
  </si>
  <si>
    <t>in / ft</t>
  </si>
  <si>
    <t>shed: the roof plane rises to wall A; flat: drainage slope inside the top pour; gable: the FRONT slope (wall-A eave → ridge), the back pitch is derived below (roof.slopePerFoot per design)</t>
  </si>
  <si>
    <t>Overhang, front (wall A, the view side)</t>
  </si>
  <si>
    <t>roof.overhang.front per design</t>
  </si>
  <si>
    <t>Overhang, back (wall C)</t>
  </si>
  <si>
    <t>roof.overhang.back per design</t>
  </si>
  <si>
    <t>Roof strips (panels)</t>
  </si>
  <si>
    <t>roof.panels; shed / flat: each strip runs the full front-to-back depth; gable: half on each slope, each running eave → ridge</t>
  </si>
  <si>
    <t>Ridge station from the outside face of wall A (gable only)</t>
  </si>
  <si>
    <t>roof.ridgeZ: the bedroom bearing line (wall thickness + the plan's open-zone depth); 0 = no ridge for the shed / flat designs</t>
  </si>
  <si>
    <t>Roof stud designation</t>
  </si>
  <si>
    <t>800S162-68</t>
  </si>
  <si>
    <t>1000S200-97</t>
  </si>
  <si>
    <t>roof.studs.designation per design; the gable's 1000S200-97 (10" web, 2" flange, 97 mil) clear-spans each slope</t>
  </si>
  <si>
    <t xml:space="preserve">   roof stud web depth</t>
  </si>
  <si>
    <t>roof.studs.depth per design (the roof project found 6" studs cannot clear-span; 8" per the PE is an open item); sets the roof stack</t>
  </si>
  <si>
    <t xml:space="preserve">   roof stud flange</t>
  </si>
  <si>
    <t>studs at 0, spacing, 2 × spacing … inside the far edge by a flange, plus the closing stud</t>
  </si>
  <si>
    <t xml:space="preserve">   roof stud gauge (info)</t>
  </si>
  <si>
    <t>mil</t>
  </si>
  <si>
    <t>roof.studs.gauge per design; info only (the stud price inputs below carry it)</t>
  </si>
  <si>
    <t>Links from the Walls tab (green)</t>
  </si>
  <si>
    <t>Panels along X (wall A)</t>
  </si>
  <si>
    <t>Walls tab</t>
  </si>
  <si>
    <t>Clerestory openings (0 for flat / gable)</t>
  </si>
  <si>
    <t>Clerestory width</t>
  </si>
  <si>
    <t>Clerestory height</t>
  </si>
  <si>
    <t>Concrete waste</t>
  </si>
  <si>
    <t>Steel cut waste</t>
  </si>
  <si>
    <t>Cement price per yd³</t>
  </si>
  <si>
    <t>Foam price per yd³</t>
  </si>
  <si>
    <t>Roof inputs (from wall.config.json roof.* — the same for every design)</t>
  </si>
  <si>
    <t>Roof stud spacing</t>
  </si>
  <si>
    <t>roof.studs.spacing (every design)</t>
  </si>
  <si>
    <t>Bottom cover (ceiling face, cast on the liner)</t>
  </si>
  <si>
    <t>roof.concrete.bottomCover</t>
  </si>
  <si>
    <t>Ground pour depth (in the yard, before the pick)</t>
  </si>
  <si>
    <t>roof.concrete.groundPourDepth: cover + channel + a bite into the studs</t>
  </si>
  <si>
    <t>Top cap over the studs (poured on the roof)</t>
  </si>
  <si>
    <t>roof.concrete.topCap; the flat design adds the drainage build-up on top of this</t>
  </si>
  <si>
    <t>Roof concrete density</t>
  </si>
  <si>
    <t>roof.concrete.densityPcf (pick weight)</t>
  </si>
  <si>
    <t>Steel allowance in the pick weight</t>
  </si>
  <si>
    <t>psf</t>
  </si>
  <si>
    <t>roof.steelPsf</t>
  </si>
  <si>
    <t>Lift inserts per strip</t>
  </si>
  <si>
    <t>roof.picks</t>
  </si>
  <si>
    <t>Overhang, sides (walls B and D, each)</t>
  </si>
  <si>
    <t>roof.overhang.sides (the gable ends)</t>
  </si>
  <si>
    <t>Roof steel prices (placeholders — not quotes; the stud and track lines pick the one for the selected design)</t>
  </si>
  <si>
    <t>Roof studs 800S162-68 and 800T track (shed / flat)</t>
  </si>
  <si>
    <t>$/lf</t>
  </si>
  <si>
    <t>$2.42/lf 600S162-68 — US Frame Factory published list, updated 5/1/2025 (usframefactory.com/current-metal-stud-pricing) — not a quote; the 800S162-68 was not listed, carried at the 68-mil 6" rate as a proxy; the 800T track at the same</t>
  </si>
  <si>
    <t>Roof studs 1000S200-97 and 1000T track (gable)</t>
  </si>
  <si>
    <t>placeholder price — replace with a quote (roofStudPrice1000): 1000S200-97 (97 mil) is not on the May 2025 list; $3.10/lf is an order-of-magnitude guess above the $2.42 68-mil rate; the gable's 1000T track is carried at this same rate</t>
  </si>
  <si>
    <t>Roof stud / track price for the selected design</t>
  </si>
  <si>
    <t>gable: the 1000S200-97 input; shed / flat: the 800S162-68 proxy</t>
  </si>
  <si>
    <t>Roof labor assumptions (roof v6 basis — placeholders)</t>
  </si>
  <si>
    <t>Roof framing</t>
  </si>
  <si>
    <t>man-hours / sf</t>
  </si>
  <si>
    <t>studs, track, channel, screws, flat in the yard</t>
  </si>
  <si>
    <t>Roof mesh and spacers</t>
  </si>
  <si>
    <t>Roof ground pour</t>
  </si>
  <si>
    <t>in the yard</t>
  </si>
  <si>
    <t>Roof top pour</t>
  </si>
  <si>
    <t>on the roof, pumped</t>
  </si>
  <si>
    <t>Pick and set the strips (per crane day)</t>
  </si>
  <si>
    <t>rigging, set, level, tie down; × the crane days below (two for the gable)</t>
  </si>
  <si>
    <t>Roof derived quantities (formulas — they reproduce roofTakeoff(cfg) for the selected design; see the Model takeoff tab)</t>
  </si>
  <si>
    <t>Roof plan width (X + side overhangs)</t>
  </si>
  <si>
    <t>the gable's ridge beam is this long</t>
  </si>
  <si>
    <t>Roof plan depth (Z + front + back overhangs)</t>
  </si>
  <si>
    <t>the front and back overhangs switch with the design</t>
  </si>
  <si>
    <t>Slopes (planes)</t>
  </si>
  <si>
    <t>gable: front + back from the ridge; shed / flat: one plane</t>
  </si>
  <si>
    <t>Strips per slope</t>
  </si>
  <si>
    <t>gable: half the strips on each slope (roofPlan perSlope); otherwise every strip</t>
  </si>
  <si>
    <t>Slope factor (front plane)</t>
  </si>
  <si>
    <t>sloped length ÷ plan length at the roof slope; 1 for the flat design (its slope lives inside the top pour)</t>
  </si>
  <si>
    <t>Roof rise over the footprint depth (shed)</t>
  </si>
  <si>
    <t>shed: wall A height − panel height (audit: within 1"); 0 for flat and gable (every wall is the panel height)</t>
  </si>
  <si>
    <t>Flat-design cap build-up, average</t>
  </si>
  <si>
    <t>flat: the drainage slope cast into the top pour, averaged over the depth (flatSlopeAvg in roof.js); 0 for the shed and the gable</t>
  </si>
  <si>
    <t>Front run: wall-A eave (face + front overhang) → ridge (gable)</t>
  </si>
  <si>
    <t>gable: ridgeZ + front overhang; 0 otherwise</t>
  </si>
  <si>
    <t>Back run: ridge → wall-C eave (gable)</t>
  </si>
  <si>
    <t>gable: (Z − ridgeZ) + back overhang; 0 otherwise</t>
  </si>
  <si>
    <t>Ridge rise above the wall tops (gable)</t>
  </si>
  <si>
    <t>gable: front pitch × front run; ridge height = panel height + this (≈ 191.8" for the reference house); 0 otherwise</t>
  </si>
  <si>
    <t>Back pitch (gable, derived — info)</t>
  </si>
  <si>
    <t>the back slope drops the same rise over the back run; a derived value, not an input (≈ 4.5:12 for the reference)</t>
  </si>
  <si>
    <t>Strip width</t>
  </si>
  <si>
    <t>plan width ÷ strips per slope</t>
  </si>
  <si>
    <t>Strip length, sloped (front slope = the longest strip)</t>
  </si>
  <si>
    <t>shed / flat: the whole plan depth on the slope; gable: the front run on the 4:12 slope</t>
  </si>
  <si>
    <t>Strip length, sloped, back slope (gable)</t>
  </si>
  <si>
    <t>gable: hypotenuse of the back run and the ridge rise; 0 otherwise</t>
  </si>
  <si>
    <t>plan width × (front sloped length + back sloped length); one plane for shed / flat</t>
  </si>
  <si>
    <t>Studs per strip</t>
  </si>
  <si>
    <t>regular studs plus the closing stud</t>
  </si>
  <si>
    <t>Channel rows per strip (front slope)</t>
  </si>
  <si>
    <t>same row rule as the walls, along the strip</t>
  </si>
  <si>
    <t>Channel rows per strip, back slope (gable)</t>
  </si>
  <si>
    <t>the same rule on the shorter back strips; 0 otherwise</t>
  </si>
  <si>
    <t>Roof stack</t>
  </si>
  <si>
    <t>cover + channel + stud + cap (13.5 with the 8" stud, 15.5 with the gable's 10")</t>
  </si>
  <si>
    <t>Top pour depth</t>
  </si>
  <si>
    <t>stack less the ground pour (before the flat-design build-up)</t>
  </si>
  <si>
    <t>strips per slope × studs per strip × (front + back strip length); cut to the strip length</t>
  </si>
  <si>
    <t>Roof track (both ends of every strip)</t>
  </si>
  <si>
    <t>Roof channel</t>
  </si>
  <si>
    <t>rows (both slopes) × strip width</t>
  </si>
  <si>
    <t>Roof channel/stud crossings (= spacers)</t>
  </si>
  <si>
    <t>Roof lift inserts</t>
  </si>
  <si>
    <t>Roof ground pour, neat</t>
  </si>
  <si>
    <t>cast in the yard</t>
  </si>
  <si>
    <t>Roof top pour, neat</t>
  </si>
  <si>
    <t>pumped on the roof, both slopes for the gable; includes the flat-design build-up</t>
  </si>
  <si>
    <t>Roof cellular concrete, neat</t>
  </si>
  <si>
    <t>Heaviest pick (one front strip at the ground pour)</t>
  </si>
  <si>
    <t>sizes the crane; the gable's front strips are the longer ones</t>
  </si>
  <si>
    <t>Rake infill on walls B and D, neat (shed only)</t>
  </si>
  <si>
    <t>two triangular wedges, wall thickness wide, from 0 at the back to the full rise at the front; 0 for the flat and gable designs</t>
  </si>
  <si>
    <t>Gable-end infill on walls B and D, neat (gable only)</t>
  </si>
  <si>
    <t>two triangles, wall thickness wide, from the 10' wall top up to the two slopes with the apex over the ridge: 2 × ½ × inside depth × ridge rise × thickness (gableInfillFt3 in roof.js, ≈ 5.95 yd³ for the reference); 0 otherwise</t>
  </si>
  <si>
    <t>Ridge beam (gable only)</t>
  </si>
  <si>
    <t>steel beam along the ridge, the plan width long, on posts inside the bearing partition (priced as an allowance below); 0 otherwise</t>
  </si>
  <si>
    <t>Crane days</t>
  </si>
  <si>
    <t>days</t>
  </si>
  <si>
    <t>gable: two pick days (six strips, two slopes); one otherwise</t>
  </si>
  <si>
    <t>Clerestory glass (shed only)</t>
  </si>
  <si>
    <t>openings × width × height; the Walls count is 0 for the flat and gable designs</t>
  </si>
  <si>
    <t>Roof materials &amp; labor (Type = Material or Labor; Side = Plant (cast in the yard) or Site (on the roof); the subtotals split by type, the plant/site block by side)</t>
  </si>
  <si>
    <t>price per design from the roof steel prices above ($2.42/lf 68-mil proxy for shed / flat — US Frame Factory published list, updated 5/1/2025 (usframefactory.com/current-metal-stud-pricing) — not a quote; $3.10/lf placeholder for the gable's 1000S200-97); strips × studs × strip length (36 pcs in the shed model)</t>
  </si>
  <si>
    <t>track at the same $/lf as the studs of the selected design; lf × (1 + cut waste)</t>
  </si>
  <si>
    <t>Cold-rolled channel 1.5", roof</t>
  </si>
  <si>
    <t>1.5" x 0.5" CRC 150U50-54, rows across every strip</t>
  </si>
  <si>
    <t>$0.73/lf — US Frame Factory published list, updated 5/1/2025 (usframefactory.com/current-metal-stud-pricing) — not a quote; rows × strip width, × (1 + cut waste)</t>
  </si>
  <si>
    <t>Screws, channel to stud, roof</t>
  </si>
  <si>
    <t>Spacer blocks, roof</t>
  </si>
  <si>
    <t>4" × 4" × 2" under every channel row at each stud line</t>
  </si>
  <si>
    <t>placeholder price — replace with a quote; channel/stud crossings</t>
  </si>
  <si>
    <t>Lift inserts, roof</t>
  </si>
  <si>
    <t>cast-in, 8 per strip</t>
  </si>
  <si>
    <t>Basalt mesh, roof</t>
  </si>
  <si>
    <t>1" grid, one layer on the channel in the ground pour</t>
  </si>
  <si>
    <t>placeholder price — replace with a quote; roof area × (1 + lap)</t>
  </si>
  <si>
    <t>Roof ground pour (cast in the yard)</t>
  </si>
  <si>
    <t>35 pcf, 6.5" deep, with waste</t>
  </si>
  <si>
    <t>cement + foam $/yd³ from the Walls mix block (Ken's basis $200 + $20)</t>
  </si>
  <si>
    <t>Roof top pour (pumped on the roof)</t>
  </si>
  <si>
    <t>stack less the ground pour, plus the flat-design build-up, with waste; both slopes of the gable</t>
  </si>
  <si>
    <t>Rake infill, walls B and D (cast on the wall tops) — shed only</t>
  </si>
  <si>
    <t>triangular wedge under the sloped roof, wall thickness wide, 0 at the back to the full rise at the front; with waste</t>
  </si>
  <si>
    <t>same $/yd³; 0 for the flat and gable designs; casting detail (form or precast wedge) is an open item</t>
  </si>
  <si>
    <t>Gable-end infill, walls B and D (cast on the wall tops) — gable only</t>
  </si>
  <si>
    <t>triangular cellular-concrete infill between the 10' wall top and the two slopes, apex over the ridge, wall thickness wide; with waste</t>
  </si>
  <si>
    <t>same $/yd³ as the rake infill it replaces; 0 for the shed and flat designs; casting detail (form or precast) is an open item</t>
  </si>
  <si>
    <t>Roof ground-form liner</t>
  </si>
  <si>
    <t>6-mil poly under the strips in the yard, 10 % lap; the ceiling face is cast against it</t>
  </si>
  <si>
    <t>placeholder price — replace with a quote; its own bed beside the wall bed</t>
  </si>
  <si>
    <t>Roof ground-form edge lumber</t>
  </si>
  <si>
    <t>2×8 around each strip; reusable</t>
  </si>
  <si>
    <t>placeholder price — replace with a quote; strips × strip perimeter (the gable's front and back strips have their own lengths)</t>
  </si>
  <si>
    <t>Clerestory glazing allowance — shed only</t>
  </si>
  <si>
    <t>40" × 24" fixed glass in every wall-A panel</t>
  </si>
  <si>
    <t>allowance from docs/roof-options.html Option 3 ($60/sf); 0 for the flat and gable designs; the window units themselves are on Everything else (Doors and windows); frames and anchoring to the jambs are an open item</t>
  </si>
  <si>
    <t>Crane and rigging, pick days</t>
  </si>
  <si>
    <t>day</t>
  </si>
  <si>
    <t>mid-size hydraulic crane (the wall forklift cannot pick ~10,600 lb); one day for the three shed / flat strips, two for the six gable strips</t>
  </si>
  <si>
    <t>placeholder price — replace with a quote; roof-options Option 3 basis per day × the crane days above; equipment, typed Material</t>
  </si>
  <si>
    <t>Ridge beam + posts allowance — gable only</t>
  </si>
  <si>
    <t>allowance</t>
  </si>
  <si>
    <t>steel ridge beam along the ridge (the plan width long — the ridge beam lf above) on posts inside the bearing partition</t>
  </si>
  <si>
    <t>placeholder price — replace with a quote (ridgeBeamAllowance; docs/roof-options.html Option 2); qty 1 for the gable, 0 for shed / flat; the beam and post sizes are the PE's</t>
  </si>
  <si>
    <t>Eco Finish roof membrane</t>
  </si>
  <si>
    <t>elastomeric membrane over the top pour, roof only (the walls carry no exterior finish line); both slopes of the gable</t>
  </si>
  <si>
    <t>Ken priced the roof membrane at $8/sf (roof v6 sheet); applied to the roof area on the slope; installed allowance, typed Material</t>
  </si>
  <si>
    <t>Labor: roof framing</t>
  </si>
  <si>
    <t>roof area × man-hours per sf</t>
  </si>
  <si>
    <t>Labor: roof mesh and spacers</t>
  </si>
  <si>
    <t>Labor: roof ground pour</t>
  </si>
  <si>
    <t>Labor: roof top pour</t>
  </si>
  <si>
    <t>Labor: pick, set and tie down the strips</t>
  </si>
  <si>
    <t>crane day crew × crane days (doubled for the gable)</t>
  </si>
  <si>
    <t>Roof subtotal</t>
  </si>
  <si>
    <t>ROOF TOTAL (materials + labor, before contingency)</t>
  </si>
  <si>
    <t>Plant / site split of the roof lines (manufacturing model — the Manufacturing tab prices the Plant lines as a product)</t>
  </si>
  <si>
    <t>Roof as the house buys it: panel sell price (Manufacturing tab) + site work with the Summary contingency</t>
  </si>
  <si>
    <t>no contingency on the sell price; the top pour, rake / gable-end infill, glazing, crane, ridge beam, membrane and their labor are the builder's and carry it</t>
  </si>
  <si>
    <t>Roof cost per sf of roof, as bought</t>
  </si>
  <si>
    <t>Switch the design on the Summary tab: shed → 12'-6" wall A, clerestory band, 1"/ft slope, 24" front overhang, rake infill; flat → 10' walls, no clerestory, 1/16"/ft slope in the top pour, 12" front overhang; gable → 10' walls, no clerestory, 4"/ft front pitch from a ridge 191.5" in from wall A, 24/24" overhangs, 6 strips (3 per slope) on 1000S200-97 studs, gable-end infill, ridge beam allowance, two crane days. The three presets come from wall.config.json designs.*.</t>
  </si>
  <si>
    <t>Manufacturing — the wall, roof and (B-plant) floor panels as a product: plant cost + overhead + margin = sell price</t>
  </si>
  <si>
    <t>Ken (7 Sep 2026): 'spreadsheets for manufacturing profit, with those costs entered into the build cost of the homes.' The Plant lines of the Walls, Roof and Floor options tabs (Side column) are what the plant builds; this tab loads them with a share of the monthly plant overhead (by plant man-hours) and a target margin, and the Summary buys the panels at the resulting SELL PRICE. Site lines stay the builder's cost. The Floor panels column is live only while the Summary Foundation selector is on B-plant (0 for A and B — then the floor is all builder cost). YELLOW = placeholder (the overhead is Ken's to replace); GREEN = linked. generated 2026-09-12</t>
  </si>
  <si>
    <t>Plant overhead (placeholders — monthly)</t>
  </si>
  <si>
    <t>Shop / yard lease (casting bed, roof yard, stock)</t>
  </si>
  <si>
    <t>$/month</t>
  </si>
  <si>
    <t>placeholder — Ken to replace</t>
  </si>
  <si>
    <t>Equipment lease / depreciation (foam generator, mixer, pump, forklift)</t>
  </si>
  <si>
    <t>Utilities, insurance, consumables</t>
  </si>
  <si>
    <t>Plant supervision + admin</t>
  </si>
  <si>
    <t>Total plant overhead</t>
  </si>
  <si>
    <t>sum of the four lines</t>
  </si>
  <si>
    <t>Plant crew</t>
  </si>
  <si>
    <t>people</t>
  </si>
  <si>
    <t>placeholder</t>
  </si>
  <si>
    <t>Hours per person per month</t>
  </si>
  <si>
    <t>h/month</t>
  </si>
  <si>
    <t>placeholder: 40 h × 4 weeks</t>
  </si>
  <si>
    <t>Plant man-hours available per month</t>
  </si>
  <si>
    <t>man-hours/month</t>
  </si>
  <si>
    <t>crew × hours</t>
  </si>
  <si>
    <t>Overhead rate</t>
  </si>
  <si>
    <t>$/plant man-hour</t>
  </si>
  <si>
    <t>total overhead ÷ plant man-hours: every plant labor hour carries this much overhead</t>
  </si>
  <si>
    <t>Target manufacturing margin (on plant cost incl. overhead)</t>
  </si>
  <si>
    <t>replaces the old Summary "panel manufacturing margin"; one % for walls, roof and the floor panel; the Summary's builder O&amp;P input stays separate</t>
  </si>
  <si>
    <t>Links (green) — this house, from its own Plant / Site lines</t>
  </si>
  <si>
    <t>Wall panels</t>
  </si>
  <si>
    <t>Wall A panels (tall in the shed design)</t>
  </si>
  <si>
    <t>Walls tab: panels along X</t>
  </si>
  <si>
    <t>Wall A height</t>
  </si>
  <si>
    <t>Walls tab (per the design)</t>
  </si>
  <si>
    <t>Roof strips</t>
  </si>
  <si>
    <t>Floor area (outside of walls)</t>
  </si>
  <si>
    <t>Floor options tab (the floor panel is one panel of this area)</t>
  </si>
  <si>
    <t>Foundation (Summary selector)</t>
  </si>
  <si>
    <t>A / B / B-plant — the Floor panels column below is live only for B-plant</t>
  </si>
  <si>
    <t>Floor panels column active (1 = B-plant selected)</t>
  </si>
  <si>
    <t>multiplies the floor Plant / Site links below: 0 under A and B (the floor is then all builder cost, not plant product)</t>
  </si>
  <si>
    <t>Per-house plant P&amp;L (this house, from its own Plant lines)</t>
  </si>
  <si>
    <t>Walls</t>
  </si>
  <si>
    <t>Roof</t>
  </si>
  <si>
    <t>Floor panels (B-plant)</t>
  </si>
  <si>
    <t>All panels</t>
  </si>
  <si>
    <t>Plant material</t>
  </si>
  <si>
    <t>Σ Material of the Plant lines (Walls / Roof / Floor options side split); floor × the B-plant flag</t>
  </si>
  <si>
    <t>Plant labor</t>
  </si>
  <si>
    <t>Σ Labor of the Plant lines</t>
  </si>
  <si>
    <t>Plant labor hours</t>
  </si>
  <si>
    <t>Σ Qty of the Plant Labor lines (man-hours); the floor hours join the capacity view only under B-plant</t>
  </si>
  <si>
    <t>Overhead allocation</t>
  </si>
  <si>
    <t>plant hours × the overhead rate above</t>
  </si>
  <si>
    <t>Plant cost</t>
  </si>
  <si>
    <t>material + labor + overhead</t>
  </si>
  <si>
    <t>Target margin</t>
  </si>
  <si>
    <t>the yellow margin input above (one % for walls, roof and floor)</t>
  </si>
  <si>
    <t>Manufacturing profit</t>
  </si>
  <si>
    <t>plant cost × margin</t>
  </si>
  <si>
    <t>SELL PRICE (what the house pays for its panels)</t>
  </si>
  <si>
    <t>plant cost + profit; no contingency on it — the Summary buys the panels at this price (the floor panel only under B-plant; the Floor options tab shows its sell price unconditionally)</t>
  </si>
  <si>
    <t>Sell price per wall panel (average) / per roof sf / per floor sf</t>
  </si>
  <si>
    <t>walls ÷ panels (all heights averaged); roof ÷ roof area on the slope; floor ÷ floor area outside of walls</t>
  </si>
  <si>
    <t>Plant cost per wall panel (average) / per roof sf / per floor sf</t>
  </si>
  <si>
    <t>before margin</t>
  </si>
  <si>
    <t>Info — average panel price by wall (area-weighted from the takeoff: sell price ÷ gross wall sf × panel face area)</t>
  </si>
  <si>
    <t>Sell price per gross sf of wall</t>
  </si>
  <si>
    <t>the average across every panel height</t>
  </si>
  <si>
    <t>Wall A panel (tall in the shed design; 10 panels)</t>
  </si>
  <si>
    <t>sell $/sf × width × wall A height; the clerestory jambs/headers make the true tall-panel share a little higher than area-weighting</t>
  </si>
  <si>
    <t>Standard panel (walls B, C, D; 24 panels)</t>
  </si>
  <si>
    <t>sell $/sf × width × panel height</t>
  </si>
  <si>
    <t>Check: Σ (count × average) − wall sell price (must be 0)</t>
  </si>
  <si>
    <t>area-weighting reproduces the total</t>
  </si>
  <si>
    <t>Site work (what the builder still does on site — Summary rows with contingency)</t>
  </si>
  <si>
    <t>Floor (B-plant)</t>
  </si>
  <si>
    <t>All</t>
  </si>
  <si>
    <t>Site material</t>
  </si>
  <si>
    <t>Σ Material of the Site lines: top track, joint + cladding screws, anchors, cavity fill, MEP allowance / top pour, rake, glazing, crane, membrane / footing excavation, concrete, rebar, forms, crane (floor: B-plant only)</t>
  </si>
  <si>
    <t>Site labor</t>
  </si>
  <si>
    <t>Σ Labor of the Site lines: set, anchor + screw, wire and plumb, hang the cladding, pump / top pour, pick day / footings, pick-set-level</t>
  </si>
  <si>
    <t>Site work total (before contingency)</t>
  </si>
  <si>
    <t>Regression check: plant + site − tab total (must be 0)</t>
  </si>
  <si>
    <t>the old Walls / Roof / Option B section totals are unchanged by the split</t>
  </si>
  <si>
    <t>Monthly capacity view (the plant building this house back to back)</t>
  </si>
  <si>
    <t>Plant hours per house (walls + roof, + the floor panel under B-plant)</t>
  </si>
  <si>
    <t>from the P&amp;L above (All panels column)</t>
  </si>
  <si>
    <t>Houses per month</t>
  </si>
  <si>
    <t>houses/month</t>
  </si>
  <si>
    <t>plant man-hours available ÷ plant hours per house</t>
  </si>
  <si>
    <t>Weeks of plant time per house</t>
  </si>
  <si>
    <t>weeks</t>
  </si>
  <si>
    <t>plant hours ÷ (monthly hours ÷ 4.33 weeks)</t>
  </si>
  <si>
    <t>Monthly revenue (panels sold)</t>
  </si>
  <si>
    <t>houses × sell price (all panels: walls + roof, + floor under B-plant)</t>
  </si>
  <si>
    <t>Monthly plant material + labor</t>
  </si>
  <si>
    <t>houses × (plant material + plant labor)</t>
  </si>
  <si>
    <t>Monthly overhead recovered</t>
  </si>
  <si>
    <t>equals the total plant overhead above when the plant runs full (hours × rate)</t>
  </si>
  <si>
    <t>Monthly plant cost (material + labor + overhead)</t>
  </si>
  <si>
    <t>Monthly manufacturing profit</t>
  </si>
  <si>
    <t>houses × manufacturing profit</t>
  </si>
  <si>
    <t>Placeholders (yellow): the four overhead lines, the crew size, the hours per person and the 20 % margin are Claude's round numbers typed on 2026-09-12 — Ken replaces them. The overhead rate, allocations, sell prices and the capacity view are formulas.</t>
  </si>
  <si>
    <t>No contingency applies to the sell price: the plant's own waste factors (concrete, steel, mesh) are already in its lines. The Summary contingency covers the builder's costs only — walls site work, roof site work, floor, everything else.</t>
  </si>
  <si>
    <t>Floor panels column (docs/manufacturing-model.md §7): the Option B floor panel is plant product only when the Summary Foundation selector is on B-plant — then its Plant lines (Floor options tab side split) come in here × the flag above, get the same overhead allocation and margin, and its plant hours count against the monthly capacity. Under A or B the column is 0 and the floor is all builder cost. The Floor options tab computes the panel's sell price unconditionally so the three floor options can be compared side by side.</t>
  </si>
  <si>
    <t>Plant hours = the Qty of the Plant Labor lines on the Walls, Roof and Floor options tabs (bed setup, framing, mesh + spacers, bed pours; roof framing, mesh + spacers, ground pour; floor framing, mesh + spacers, ground pour at the roof productivities). Re-tag a line's Side on those tabs and it moves between the plant P&amp;L and the site work.</t>
  </si>
  <si>
    <t>Floor options — A: slab on grade · B: footings + floor panel, site-built · B-plant: footings + the floor panel bought from the plant</t>
  </si>
  <si>
    <t>Same footprint as the walls. Option A pours a slab on grade with a thickened edge under the walls. Option B pours strip footings only and drops in a floor panel: the roof panel turned finish-face UP, cast with its ground pour only (studs left open underneath, not filled), priced as site work at builder cost. B-plant (docs/manufacturing-model.md §7) is the same footings and the same panel, but the panel is plant product: the Plant lines of Option B (Side column — studs, track, channel, screws, spacers, inserts, mesh, ground pour, liner, lumber, framing / mesh / ground-pour labor at the roof productivities) carry the plant overhead and margin from the Manufacturing tab and the house buys the panel at the SELL PRICE; the Site lines (excavation, footings, rebar, forms, footing labor, crane, pick/set) stay the builder's. The difference between the two B columns is exactly the plant's overhead + margin on the panel. The Summary picks A / B / B-plant with its Foundation selector. Yellow = assumptions and placeholder prices; green = linked.</t>
  </si>
  <si>
    <t>Shared inputs</t>
  </si>
  <si>
    <t>Foundation selected on the Summary (A / B / B-plant)</t>
  </si>
  <si>
    <t>change it on the Summary tab</t>
  </si>
  <si>
    <t>linked to the Walls footprint</t>
  </si>
  <si>
    <t>Perimeter under the walls</t>
  </si>
  <si>
    <t>linked to the Walls labor rate</t>
  </si>
  <si>
    <t>linked to the Walls tab</t>
  </si>
  <si>
    <t>Ready-mix concrete (3,000 psi, delivered)</t>
  </si>
  <si>
    <t>placeholder — local ready-mix quote</t>
  </si>
  <si>
    <t>Gravel base</t>
  </si>
  <si>
    <t>#4 rebar</t>
  </si>
  <si>
    <t>6×6 welded wire mesh</t>
  </si>
  <si>
    <t>$/sf</t>
  </si>
  <si>
    <t>Vapor barrier</t>
  </si>
  <si>
    <t>Edge / footing forms</t>
  </si>
  <si>
    <t>placeholder, reusable lumber</t>
  </si>
  <si>
    <t>Option A — slab on grade</t>
  </si>
  <si>
    <t>Slab thickness</t>
  </si>
  <si>
    <t>config site.slabThickness</t>
  </si>
  <si>
    <t>Thickened edge width (under the walls)</t>
  </si>
  <si>
    <t>assumption: turned-down edge for the wall bearing</t>
  </si>
  <si>
    <t>Thickened edge depth below the slab</t>
  </si>
  <si>
    <t>assumption</t>
  </si>
  <si>
    <t>Gravel base thickness</t>
  </si>
  <si>
    <t>#4 bars in the thickened edge</t>
  </si>
  <si>
    <t>continuous, assumption</t>
  </si>
  <si>
    <t>Base prep and vapor barrier</t>
  </si>
  <si>
    <t>Place and finish the slab</t>
  </si>
  <si>
    <t>assumption: pump/chute, screed, trowel</t>
  </si>
  <si>
    <t>Edge forms and edge steel</t>
  </si>
  <si>
    <t>man-hours / lf</t>
  </si>
  <si>
    <t>Slab concrete</t>
  </si>
  <si>
    <t>Thickened edge concrete</t>
  </si>
  <si>
    <t>Option A concrete to order</t>
  </si>
  <si>
    <t>with the Walls waste %</t>
  </si>
  <si>
    <t>Ready-mix concrete, slab + thickened edge</t>
  </si>
  <si>
    <t>3,000 psi normal weight</t>
  </si>
  <si>
    <t>compacted, 10 % extra</t>
  </si>
  <si>
    <t>10-mil poly, 10 % lap</t>
  </si>
  <si>
    <t>Welded wire mesh</t>
  </si>
  <si>
    <t>6×6 W1.4, 10 % lap</t>
  </si>
  <si>
    <t>#4 rebar in the edge</t>
  </si>
  <si>
    <t>continuous, 10 % laps</t>
  </si>
  <si>
    <t>Edge forms</t>
  </si>
  <si>
    <t>reusable lumber</t>
  </si>
  <si>
    <t>Labor: base prep + vapor barrier</t>
  </si>
  <si>
    <t>hours × rate</t>
  </si>
  <si>
    <t>Labor: place and finish</t>
  </si>
  <si>
    <t>Labor: edge forms and steel</t>
  </si>
  <si>
    <t>Option A subtotal (slab on grade)</t>
  </si>
  <si>
    <t>Option B — strip footings + floor panel (roof panel turned over, ground pour only); Side = Plant (the panel, cast in the yard) or Site (footings, crane, set)</t>
  </si>
  <si>
    <t>Footing width</t>
  </si>
  <si>
    <t>assumption: strip footing under each wall line</t>
  </si>
  <si>
    <t>Footing depth</t>
  </si>
  <si>
    <t>Midspan footing / beam line under the floor panel</t>
  </si>
  <si>
    <t>yes = 1</t>
  </si>
  <si>
    <t>the roof spec found a 6" stud cannot clear-span ~21'; the floor panel needs a bearing line mid-span (length = footprint X)</t>
  </si>
  <si>
    <t>#4 bars per footing</t>
  </si>
  <si>
    <t>Footing excavation</t>
  </si>
  <si>
    <t>placeholder, machine dig</t>
  </si>
  <si>
    <t>Labor: form, steel, place footings</t>
  </si>
  <si>
    <t>Footing length</t>
  </si>
  <si>
    <t>Footing concrete to order</t>
  </si>
  <si>
    <t>Floor panel (from the roof-panel design, docs/spec-v1.md in the roof project)</t>
  </si>
  <si>
    <t>Bottom cover = finished floor face (cast on the liner, turned up)</t>
  </si>
  <si>
    <t>roof config concrete.bottomCover</t>
  </si>
  <si>
    <t>roof config</t>
  </si>
  <si>
    <t>600S162-68, roof config</t>
  </si>
  <si>
    <t>Ground pour (cover + channel + 3" into the studs)</t>
  </si>
  <si>
    <t>roof config concrete.groundPourDepth — the panel is NOT filled further</t>
  </si>
  <si>
    <t>Stud flange</t>
  </si>
  <si>
    <t>Channel row spacing / first row</t>
  </si>
  <si>
    <t>roof config (first row 12" in)</t>
  </si>
  <si>
    <t>Lift inserts</t>
  </si>
  <si>
    <t>roof config lifting.pickPoints</t>
  </si>
  <si>
    <t>Cast density</t>
  </si>
  <si>
    <t>Cellular concrete, cement + foam</t>
  </si>
  <si>
    <t>Ken's basis: 600 lb/yd³, $200 + $20 per yd³ (Walls mix block)</t>
  </si>
  <si>
    <t>Stud 600S162-68 (14 ga)</t>
  </si>
  <si>
    <t>US Frame Factory list 5/1/2025 — not a quote</t>
  </si>
  <si>
    <t>Track 600T150-68</t>
  </si>
  <si>
    <t>assumed at the 68-mil stud rate</t>
  </si>
  <si>
    <t>Cold-rolled channel 1-1/2" 16 ga</t>
  </si>
  <si>
    <t>$11.67 per 16 ft piece, same list</t>
  </si>
  <si>
    <t>Screws</t>
  </si>
  <si>
    <t>$/ea</t>
  </si>
  <si>
    <t>Spacer blocks</t>
  </si>
  <si>
    <t>Ground form: liner</t>
  </si>
  <si>
    <t>Ground form: edge lumber</t>
  </si>
  <si>
    <t>Crane and rigging for the pick (day)</t>
  </si>
  <si>
    <t>$/day</t>
  </si>
  <si>
    <t>placeholder — the wall forklift cannot pick a ~12,000 lb panel</t>
  </si>
  <si>
    <t>linked to the Walls tab (same rule as the roof strips)</t>
  </si>
  <si>
    <t>Labor: framing</t>
  </si>
  <si>
    <t>linked to the Roof tab — the plant frames the floor panel at the roof-strip productivity (rMhFrame)</t>
  </si>
  <si>
    <t>Labor: mesh and spacers</t>
  </si>
  <si>
    <t>linked to the Roof tab (rMhMesh)</t>
  </si>
  <si>
    <t>Labor: ground pour</t>
  </si>
  <si>
    <t>linked to the Roof tab (rMhGround)</t>
  </si>
  <si>
    <t>Labor: pick day, set and level on the footings</t>
  </si>
  <si>
    <t>roof v6 basis; site labor</t>
  </si>
  <si>
    <t>Studs</t>
  </si>
  <si>
    <t>across footprint X, plus the closing stud — the roof-strip stud rule applied to ONE panel the width of the footprint (strips = 1)</t>
  </si>
  <si>
    <t>Stud length (spans footprint Z)</t>
  </si>
  <si>
    <t>bears on the two end footings and the midspan line</t>
  </si>
  <si>
    <t>Channel rows</t>
  </si>
  <si>
    <t>Floor panel concrete to order</t>
  </si>
  <si>
    <t>ground pour only, with waste</t>
  </si>
  <si>
    <t>Floor panel weight at pick</t>
  </si>
  <si>
    <t>concrete + 4 psf steel</t>
  </si>
  <si>
    <t>strip footings + midspan line</t>
  </si>
  <si>
    <t>machine dig, typed Material (equipment)</t>
  </si>
  <si>
    <t>Ready-mix concrete, footings</t>
  </si>
  <si>
    <t>3,000 psi</t>
  </si>
  <si>
    <t>#4 rebar in the footings</t>
  </si>
  <si>
    <t>Footing forms</t>
  </si>
  <si>
    <t>both sides</t>
  </si>
  <si>
    <t>Labor: footings</t>
  </si>
  <si>
    <t>Cellular concrete, ground pour (cement + foam)</t>
  </si>
  <si>
    <t>Ken's basis: 600 lb/yd³, $200 + $20 per yd³</t>
  </si>
  <si>
    <t>cast in the yard — ground pour only, like the roof strips</t>
  </si>
  <si>
    <t>Studs 600S162-68</t>
  </si>
  <si>
    <t>studs × length</t>
  </si>
  <si>
    <t>studs across X spanning Z on the two end footings and the midspan line</t>
  </si>
  <si>
    <t>both ends</t>
  </si>
  <si>
    <t>Cold-rolled channel</t>
  </si>
  <si>
    <t>rows × width</t>
  </si>
  <si>
    <t>crossings × screws per crossing</t>
  </si>
  <si>
    <t>one layer, with lap</t>
  </si>
  <si>
    <t>rows × studs</t>
  </si>
  <si>
    <t>cast-in</t>
  </si>
  <si>
    <t>Ground form liner</t>
  </si>
  <si>
    <t>10 % lap</t>
  </si>
  <si>
    <t>Ground form edge lumber</t>
  </si>
  <si>
    <t>perimeter</t>
  </si>
  <si>
    <t>Crane and rigging, pick day</t>
  </si>
  <si>
    <t>mid-size hydraulic crane</t>
  </si>
  <si>
    <t>equipment, typed Material</t>
  </si>
  <si>
    <t>panel area × the roof framing productivity</t>
  </si>
  <si>
    <t>panel area × the roof mesh productivity</t>
  </si>
  <si>
    <t>yd³ placed × the roof ground-pour productivity</t>
  </si>
  <si>
    <t>Labor: pick, set and level</t>
  </si>
  <si>
    <t>crane day crew, on the footings</t>
  </si>
  <si>
    <t>Option B subtotal (footings + floor panel, site-built)</t>
  </si>
  <si>
    <t>Plant / site split of the Option B lines (manufacturing model — the Manufacturing tab prices the Plant lines as a product)</t>
  </si>
  <si>
    <t>B-plant — the floor panel as plant product: (plant material + plant labor + plant hours × overhead rate) × (1 + margin) = SELL PRICE</t>
  </si>
  <si>
    <t>linked to the Manufacturing tab: monthly plant overhead ÷ plant man-hours per month</t>
  </si>
  <si>
    <t>Target manufacturing margin</t>
  </si>
  <si>
    <t>linked to the Manufacturing tab (one % for walls, roof and floor)</t>
  </si>
  <si>
    <t>Plant material (Σ Material of the Plant lines above)</t>
  </si>
  <si>
    <t>$</t>
  </si>
  <si>
    <t>the panel itself: steel, screws, spacers, inserts, mesh, ground pour, liner, lumber</t>
  </si>
  <si>
    <t>Plant labor (Σ Labor of the Plant lines above)</t>
  </si>
  <si>
    <t>framing, mesh + spacers, ground pour at the roof productivities</t>
  </si>
  <si>
    <t>join the capacity view on the Manufacturing tab when B-plant is selected</t>
  </si>
  <si>
    <t>plant hours × the overhead rate</t>
  </si>
  <si>
    <t>FLOOR PANEL SELL PRICE (what the house pays for the panel)</t>
  </si>
  <si>
    <t>plant cost + profit; no contingency on it (the plant's waste factors are in its lines); the Summary puts it in Materials</t>
  </si>
  <si>
    <t>Sell price per sf of floor (outside)</t>
  </si>
  <si>
    <t>Comparison — A | B site-built | B-plant, side by side (before contingency; the Summary applies the one contingency % to the builder's part of the selected option, never to the panel sell price)</t>
  </si>
  <si>
    <t>all builder cost</t>
  </si>
  <si>
    <t>Option B — footings + floor panel, site-built</t>
  </si>
  <si>
    <t>all builder cost: the panel at plant material + plant labor, no overhead or margin on it</t>
  </si>
  <si>
    <t>Option B-plant — footings + site work + the floor panel at its SELL PRICE</t>
  </si>
  <si>
    <t>Site lines of Option B (M / L) + the sell price in Materials — what the Summary shows as two rows under B-plant</t>
  </si>
  <si>
    <t>Difference (B-plant − B site-built) = the plant's overhead + margin on the panel</t>
  </si>
  <si>
    <t>equals the overhead allocation + manufacturing profit of the B-plant block (check below)</t>
  </si>
  <si>
    <t>Check: difference − (overhead allocation + manufacturing profit) (must be 0)</t>
  </si>
  <si>
    <t>Difference (B site-built − A)</t>
  </si>
  <si>
    <t>Selected option (per the Summary Foundation cell: A / B / B-plant)</t>
  </si>
  <si>
    <t>B-plant: the sell price is inside Materials; the Summary splits it into its own row</t>
  </si>
  <si>
    <t>Option B / B-plant floor panel weight at pick</t>
  </si>
  <si>
    <t>What Option B buys that A does not: a finished, insulated (~R-1.5/in) cellular-concrete floor over an open crawl space instead of concrete on grade; the panel is the roof design turned over, so the studs and the open cavity face down and are not filled.</t>
  </si>
  <si>
    <t>B-plant vs B (docs/manufacturing-model.md §7): the same footings and the same panel. Under B the builder casts the panel himself and the Summary carries every line at cost with contingency. Under B-plant the plant casts it: the Plant lines (Side column) are loaded with plant overhead (plant hours × the overhead rate) and the manufacturing margin, exactly as the wall and roof panels, and the house buys the panel at the SELL PRICE with no contingency; the Site lines stay builder cost with contingency. The Manufacturing tab shows the floor panel as a third P&amp;L column only while the Summary selector is on B-plant, and its plant hours then count against the monthly plant capacity. The takeoff is the roof-strip rules applied to one panel the width of the footprint (strips = 1: studs across X spanning Z, channel rows along Z, one pick set of inserts, the perimeter as the edge form).</t>
  </si>
  <si>
    <t>What Option A buys that B does not: no crane day, no 7-day panel cure before the walls go up, a slab that also serves as the casting pad for the wall bed.</t>
  </si>
  <si>
    <t>Not in either option: excavation for the slab itself (Everything else → Exterior and site carries an excavation allowance), under-slab plumbing (Plumbing carries the building drain), the midspan line as a printed wall or steel beam (Option B carries it as a strip footing only), engineering (Soft costs). Floor finish is on Everything else → Flooring; its slab-prep line becomes a floor-panel finish line under Option B (note only).</t>
  </si>
  <si>
    <t>Everything else — plumbing, electrical, fixtures, heating/cooling, kitchen, baths, flooring, doors and windows, interior finish, exterior and site, soft costs</t>
  </si>
  <si>
    <t>From docs/house-items.json. BLUE quantities come from the floor plan (docs/floor-plan.json) and the config; GREEN quantities link to the Walls / Roof / Summary tabs; YELLOW = placeholder unit prices and labor (hours per unit at the loaded rate, or a flat $ per unit for trades priced by the job) — none is a quote. Section subtotals feed the Summary.</t>
  </si>
  <si>
    <t>Links (green) and selectors (yellow)</t>
  </si>
  <si>
    <t>Walls tab; every "hours per unit" line multiplies by it</t>
  </si>
  <si>
    <t>Roof design (Summary selector)</t>
  </si>
  <si>
    <t>shed / flat / gable</t>
  </si>
  <si>
    <t>Clerestory band active (1 = shed, 0 = flat / gable)</t>
  </si>
  <si>
    <t>Roof tab; the clerestory window line multiplies by it (0 for flat and gable)</t>
  </si>
  <si>
    <t>Floor area inside (plan rooms)</t>
  </si>
  <si>
    <t>Summary tab</t>
  </si>
  <si>
    <t>Net wall area (walls, openings out)</t>
  </si>
  <si>
    <t>Walls tab; follows the design (the 12'-6" wall A drops to 10' for flat and gable)</t>
  </si>
  <si>
    <t>MEP boxes in the wall panels</t>
  </si>
  <si>
    <t>Walls tab: one outlet per panel, a switch on door panels</t>
  </si>
  <si>
    <t>A slab / B footings + floor panel site-built / B-plant footings + the panel from the plant — see the Flooring note</t>
  </si>
  <si>
    <t>Scale drivers — the engine's rules (src/pricing/price.js priceEverythingElse): every quantity below = the reference house's quantity × this house's driver ÷ the reference driver, whole things rounded</t>
  </si>
  <si>
    <t>Perimeter, outer footprint</t>
  </si>
  <si>
    <t>Walls tab (the top-track length)</t>
  </si>
  <si>
    <t>Roof tab; follows the design</t>
  </si>
  <si>
    <t>Bedrooms</t>
  </si>
  <si>
    <t>the engine's driver for this house (spec: 2)</t>
  </si>
  <si>
    <t>Exterior doors</t>
  </si>
  <si>
    <t>the engine's driver for this house (spec: 1)</t>
  </si>
  <si>
    <t>View windows</t>
  </si>
  <si>
    <t>the engine's driver for this house (spec: 7)</t>
  </si>
  <si>
    <t>Other windows</t>
  </si>
  <si>
    <t>the engine's driver for this house (spec: 4)</t>
  </si>
  <si>
    <t>Bath windows</t>
  </si>
  <si>
    <t>Interior doors (bedrooms + baths + 1)</t>
  </si>
  <si>
    <t>the engine's driver for this house (spec: 5)</t>
  </si>
  <si>
    <t>Openings (doors + windows)</t>
  </si>
  <si>
    <t>the engine's driver for this house (spec: 13)</t>
  </si>
  <si>
    <t>Interior partitions</t>
  </si>
  <si>
    <t>the engine's driver for this house (spec: 60)</t>
  </si>
  <si>
    <t>Exterior wall lights</t>
  </si>
  <si>
    <t>Reference sf</t>
  </si>
  <si>
    <t>docs/house-items.json reference (the house the quantities were written for)</t>
  </si>
  <si>
    <t>Reference netWallSf</t>
  </si>
  <si>
    <t>Reference perimeter</t>
  </si>
  <si>
    <t>Reference roofSf</t>
  </si>
  <si>
    <t>Reference panels</t>
  </si>
  <si>
    <t>Reference bedrooms</t>
  </si>
  <si>
    <t>Reference baths</t>
  </si>
  <si>
    <t>Reference doors</t>
  </si>
  <si>
    <t>Reference viewWindows</t>
  </si>
  <si>
    <t>Reference otherWindows</t>
  </si>
  <si>
    <t>Reference bathWindows</t>
  </si>
  <si>
    <t>Reference interiorDoors</t>
  </si>
  <si>
    <t>Reference openings</t>
  </si>
  <si>
    <t>Reference partitions</t>
  </si>
  <si>
    <t>Reference exteriorLights</t>
  </si>
  <si>
    <t>PLUMBING</t>
  </si>
  <si>
    <t>Material $/unit</t>
  </si>
  <si>
    <t>Labor h/unit or flat $</t>
  </si>
  <si>
    <t>Rough-in, supply + DWV per fixture</t>
  </si>
  <si>
    <t>fixtures</t>
  </si>
  <si>
    <t>2 toilets, 2 lavatories, shower, tub, kitchen sink, dishwasher, washer box, ice maker, 2 hose bibs; qty scaled by baths (12 at the reference house) — the engine's rule</t>
  </si>
  <si>
    <t>Main water line + shut-off, from the meter</t>
  </si>
  <si>
    <t>allowance; site connection is under Site</t>
  </si>
  <si>
    <t>Building drain to the sewer / septic stub</t>
  </si>
  <si>
    <t>Water heater, 50-gal electric</t>
  </si>
  <si>
    <t>option: tankless electric ≈ $1,400 + 6 h</t>
  </si>
  <si>
    <t>Toilet, elongated</t>
  </si>
  <si>
    <t>Bath 1 + Bath 2; qty scaled by baths (2 at the reference house) — the engine's rule</t>
  </si>
  <si>
    <t>Vanity with top + faucet</t>
  </si>
  <si>
    <t>48" in Bath 1, 36" in Bath 2; qty scaled by baths (2 at the reference house) — the engine's rule</t>
  </si>
  <si>
    <t>Shower, 36×48 base + valve + door</t>
  </si>
  <si>
    <t>Bath 1; qty scaled by baths (1 at the reference house) — the engine's rule</t>
  </si>
  <si>
    <t>Tub, 30×60 + valve</t>
  </si>
  <si>
    <t>Bath 2; qty scaled by baths (1 at the reference house) — the engine's rule</t>
  </si>
  <si>
    <t>Kitchen sink + faucet + disposal</t>
  </si>
  <si>
    <t>Washer box + dryer vent</t>
  </si>
  <si>
    <t>Laundry</t>
  </si>
  <si>
    <t>Plumbing subtotal</t>
  </si>
  <si>
    <t>ELECTRICAL</t>
  </si>
  <si>
    <t>200 A service panel, meter base, grounding</t>
  </si>
  <si>
    <t>service drop/trench under Site</t>
  </si>
  <si>
    <t>Branch circuits: wire, breakers, boxes, devices</t>
  </si>
  <si>
    <t>outlets/switches</t>
  </si>
  <si>
    <t>34 boxes in the model (one per panel + switches); conduit in the cavity is in the wall MEP allowance; qty scaled by panels (34 at the reference house) — the engine's rule</t>
  </si>
  <si>
    <t>Dedicated circuits: range, dryer, water heater, HVAC, dishwasher, microwave, fridge</t>
  </si>
  <si>
    <t>circuits</t>
  </si>
  <si>
    <t>GFCI/AFCI and exterior weatherproof outlets</t>
  </si>
  <si>
    <t>kitchen, baths, laundry, exterior</t>
  </si>
  <si>
    <t>Smoke / CO detectors, interconnected</t>
  </si>
  <si>
    <t>2 bedrooms, hall, living; qty scaled by bedrooms (4 at the reference house) — the engine's rule</t>
  </si>
  <si>
    <t>Bath exhaust fans</t>
  </si>
  <si>
    <t>ducted through the roof cap — sleeve at the pour; qty scaled by baths (2 at the reference house) — the engine's rule</t>
  </si>
  <si>
    <t>Range hood</t>
  </si>
  <si>
    <t>Data / TV / doorbell low-voltage allowance</t>
  </si>
  <si>
    <t>lot</t>
  </si>
  <si>
    <t>Electrical subtotal</t>
  </si>
  <si>
    <t>LIGHT FIXTURES</t>
  </si>
  <si>
    <t>Recessed / surface LED, living-dining-kitchen</t>
  </si>
  <si>
    <t>cast ceiling: surface or shallow cans set in the roof pour — sleeves at the pour; qty scaled by sf (12 at the reference house) — the engine's rule</t>
  </si>
  <si>
    <t>Pendants over the island</t>
  </si>
  <si>
    <t>Bedroom ceiling fixtures / fans</t>
  </si>
  <si>
    <t>qty scaled by bedrooms (2 at the reference house) — the engine's rule</t>
  </si>
  <si>
    <t>Bath vanity lights</t>
  </si>
  <si>
    <t>qty scaled by baths (2 at the reference house) — the engine's rule</t>
  </si>
  <si>
    <t>Closet, hall, laundry fixtures</t>
  </si>
  <si>
    <t>qty scaled by bedrooms (4 at the reference house) — the engine's rule</t>
  </si>
  <si>
    <t>Exterior wall lights (entry, back, sides)</t>
  </si>
  <si>
    <t>spec.exterior: lightsPerWall on the front + one at each other door (sconce or downlight); qty scaled by exteriorLights (4 at the reference house) — the engine's rule</t>
  </si>
  <si>
    <t>Light fixtures subtotal</t>
  </si>
  <si>
    <t>HEATING / COOLING (choose one option)</t>
  </si>
  <si>
    <t>Heating / cooling option (pick A, B or C)</t>
  </si>
  <si>
    <t>A = ductless mini-split heat pump, 2 zones (24k + 12k BTU) · B = electric wall heaters + window/through-wall AC · C = central ducted heat pump with a dropped soffit duct run</t>
  </si>
  <si>
    <t>ERV / fresh-air add-on (yes / no)</t>
  </si>
  <si>
    <t>yes</t>
  </si>
  <si>
    <t>tight concrete envelope — recommended with any option</t>
  </si>
  <si>
    <t>Option A: ductless mini-split heat pump, 2 zones (24k + 12k BTU)</t>
  </si>
  <si>
    <t>system</t>
  </si>
  <si>
    <t>no ducts in the cast ceiling; heads on the exterior walls; counts only when the option cell is A; qty scaled by sf (1 at the reference house)</t>
  </si>
  <si>
    <t>Option B: electric wall heaters + window/through-wall AC</t>
  </si>
  <si>
    <t>lowest first cost, highest running cost; counts only when the option cell is B; qty scaled by sf (1 at the reference house)</t>
  </si>
  <si>
    <t>Option C: central ducted heat pump with a dropped soffit duct run</t>
  </si>
  <si>
    <t>needs a soffit along the hall/bedroom wall for ducts; counts only when the option cell is C; qty scaled by sf (1 at the reference house)</t>
  </si>
  <si>
    <t>ERV / fresh-air ventilation (add to any option)</t>
  </si>
  <si>
    <t>tight concrete envelope — recommended; counts only when the ERV cell is yes</t>
  </si>
  <si>
    <t>Heating/cooling subtotal</t>
  </si>
  <si>
    <t>KITCHEN</t>
  </si>
  <si>
    <t>Base + wall cabinets</t>
  </si>
  <si>
    <t>L-run along wall B + back partition from the plan</t>
  </si>
  <si>
    <t>Island cabinet</t>
  </si>
  <si>
    <t>84" island</t>
  </si>
  <si>
    <t>Countertops, quartz</t>
  </si>
  <si>
    <t>25" deep runs + island</t>
  </si>
  <si>
    <t>Backsplash tile</t>
  </si>
  <si>
    <t>Refrigerator</t>
  </si>
  <si>
    <t>Range, electric</t>
  </si>
  <si>
    <t>Dishwasher</t>
  </si>
  <si>
    <t>Microwave</t>
  </si>
  <si>
    <t>Washer + dryer</t>
  </si>
  <si>
    <t>pair</t>
  </si>
  <si>
    <t>Kitchen subtotal</t>
  </si>
  <si>
    <t>BATHROOMS (beyond the plumbing fixtures)</t>
  </si>
  <si>
    <t>Shower wall tile</t>
  </si>
  <si>
    <t>36×48 shower, 3 walls to 84"; qty scaled by baths (100 at the reference house) — the engine's rule</t>
  </si>
  <si>
    <t>Tub surround tile</t>
  </si>
  <si>
    <t>qty scaled by baths (60 at the reference house) — the engine's rule</t>
  </si>
  <si>
    <t>Mirrors, medicine cabinets, accessories</t>
  </si>
  <si>
    <t>baths</t>
  </si>
  <si>
    <t>Shower niche, curb, waterproofing</t>
  </si>
  <si>
    <t>qty scaled by baths (1 at the reference house) — the engine's rule</t>
  </si>
  <si>
    <t>Bathrooms subtotal</t>
  </si>
  <si>
    <t>FLOORING</t>
  </si>
  <si>
    <t>Luxury vinyl plank, open zone + hall + laundry + closet</t>
  </si>
  <si>
    <t>living 270 + dining 120 + kitchen 181 + hall 39 + laundry 30 + closet 42 (plan rooms); qty scaled by sf (682 at the reference house) — the engine's rule</t>
  </si>
  <si>
    <t>Luxury vinyl plank, bedrooms</t>
  </si>
  <si>
    <t>bed 1 169 + bed 2 118 (option: carpet ≈ $3.5/sf); qty scaled by sf (287 at the reference house) — the engine's rule</t>
  </si>
  <si>
    <t>Porcelain tile, baths</t>
  </si>
  <si>
    <t>bath 1 49 + bath 2 48; qty scaled by sf (97 at the reference house) — the engine's rule</t>
  </si>
  <si>
    <t>Slab prep / self-leveler (or floor-panel finish if Option B foundation)</t>
  </si>
  <si>
    <t>inside area; qty scaled by sf (1066 at the reference house) — the engine's rule; Foundation B / B-plant: this line becomes the floor-panel finish (grind/seal the cast face) instead of slab prep — same allowance, note only</t>
  </si>
  <si>
    <t>Base trim</t>
  </si>
  <si>
    <t>room perimeters less openings; qty scaled by perimeter (300 at the reference house) — the engine's rule</t>
  </si>
  <si>
    <t>Flooring subtotal</t>
  </si>
  <si>
    <t>DOORS AND WINDOWS</t>
  </si>
  <si>
    <t>Exterior entry door, prehung insulated, hardware</t>
  </si>
  <si>
    <t>A1; qty scaled by doors (1 at the reference house) — the engine's rule</t>
  </si>
  <si>
    <t>Windows 40×72, fixed/casement, impact-rated option</t>
  </si>
  <si>
    <t>A2–A8 view windows (config); spec.windowSize sets the size and the unit price follows the glass area at basis.finish.windowAreaPerSf — 40×72 is the rate's own reference, so the standard window is this $680 exactly (docs/window-size.md); qty scaled by viewWindows (7 at the reference house) — the engine's rule</t>
  </si>
  <si>
    <t>Windows 36×48</t>
  </si>
  <si>
    <t>C1, C8, D2, and B1 (36×42 priced the same); qty scaled by otherWindows (4 at the reference house) — the engine's rule</t>
  </si>
  <si>
    <t>Window 24×24, bath</t>
  </si>
  <si>
    <t>C5; qty scaled by bathWindows (1 at the reference house) — the engine's rule</t>
  </si>
  <si>
    <t>Clerestory windows 40×24 (shed design only)</t>
  </si>
  <si>
    <t>A0–A9 clerestory band; the sheet zeroes this for the flat design; 10 × the clerestory flag</t>
  </si>
  <si>
    <t>Interior doors, prehung + hardware</t>
  </si>
  <si>
    <t>bed 1, closet, bath 1, bath 2, bed 2; qty scaled by interiorDoors (5 at the reference house) — the engine's rule</t>
  </si>
  <si>
    <t>Laundry bifold door</t>
  </si>
  <si>
    <t>Window sills / jamb wrap at the concrete openings</t>
  </si>
  <si>
    <t>openings</t>
  </si>
  <si>
    <t>qty scaled by openings (13 at the reference house) — the engine's rule</t>
  </si>
  <si>
    <t>Door style upcharge (craftsman / full-lite glass), per exterior door</t>
  </si>
  <si>
    <t>spec.exterior.doorStyle: flush $0, craftsman / glass from the basis; qty scaled by doors (1 at the reference house) — the engine's rule</t>
  </si>
  <si>
    <t>Window frame colour (black / bronze), on the window units</t>
  </si>
  <si>
    <t>spec.exterior.windowFrame: white $0; black / bronze = basis fraction x the window unit material above</t>
  </si>
  <si>
    <t>Doors and windows subtotal</t>
  </si>
  <si>
    <t>INTERIOR FINISH</t>
  </si>
  <si>
    <t>Skim coat + paint, interior face of the wall panels</t>
  </si>
  <si>
    <t>net wall area (config); the cast skin is the finished surface — one skim coat max; qty scaled by netWallSf (1148 at the reference house) — the engine's rule</t>
  </si>
  <si>
    <t>Ceiling paint (cast underside of the roof panels)</t>
  </si>
  <si>
    <t>inside area; qty scaled by sf (1066 at the reference house) — the engine's rule</t>
  </si>
  <si>
    <t>Interior partitions: 2×4 steel/wood studs, drywall both sides, paint</t>
  </si>
  <si>
    <t>plan partitions ≈ 60 lf × 9'; qty scaled by partitions (60 at the reference house) — the engine's rule</t>
  </si>
  <si>
    <t>Closet shelving / rod</t>
  </si>
  <si>
    <t>closets</t>
  </si>
  <si>
    <t>walk-in + bed 2 closet; qty scaled by bedrooms (2 at the reference house) — the engine's rule</t>
  </si>
  <si>
    <t>Interior finish subtotal</t>
  </si>
  <si>
    <t>EXTERIOR AND SITE</t>
  </si>
  <si>
    <t>Exterior finish on the cladding (option — $0 until chosen)</t>
  </si>
  <si>
    <t>Ken: no Eco Finish on the walls; coating/render/paint TBD; qty scaled by netWallSf (1148 at the reference house) — the engine's rule</t>
  </si>
  <si>
    <t>Exterior colour coat on the cladding (wall colour other than natural grey)</t>
  </si>
  <si>
    <t>spec.exterior.wallColor: natural $0, else the basis $/sf; replaced by exteriorFinishPerSf when that is set; qty scaled by netWallSf (1148 at the reference house) — the engine's rule</t>
  </si>
  <si>
    <t>Roof membrane colour (non-white)</t>
  </si>
  <si>
    <t>spec.exterior.roofColor: white $0, else the basis $/sf on the roof area; qty scaled by roofSf (1387.29 at the reference house) — the engine's rule</t>
  </si>
  <si>
    <t>Trim bands in the trim colour: fascia along the roof edge + 6" plinth at the base</t>
  </si>
  <si>
    <t>spec.exterior.trimBands: none $0, fascia = basis $/lf (0 = painted roof edge), fascia+base adds the plinth $/lf; qty scaled by perimeter (139.83 at the reference house) — the engine's rule</t>
  </si>
  <si>
    <t>Gutters + downspouts, back eave</t>
  </si>
  <si>
    <t>roof drains to the back; qty scaled by perimeter (42 at the reference house) — the engine's rule</t>
  </si>
  <si>
    <t>Entry stoop / steps, concrete</t>
  </si>
  <si>
    <t>qty scaled by doors (1 at the reference house) — the engine's rule</t>
  </si>
  <si>
    <t>Excavation, grading, backfill</t>
  </si>
  <si>
    <t>allowance; foundation itself is on the Floor options tab; qty scaled by sf (1 at the reference house) — the engine's rule</t>
  </si>
  <si>
    <t>Utility connections: water, sewer/septic, power service</t>
  </si>
  <si>
    <t>allowance — varies with the site; septic system NOT included</t>
  </si>
  <si>
    <t>Forklift / boom rental for the wall sets</t>
  </si>
  <si>
    <t>34 panels, 9 casting cycles → set days; qty scaled by panels (4 at the reference house) — the engine's rule</t>
  </si>
  <si>
    <t>Dumpster, cleanup, temporary power/water</t>
  </si>
  <si>
    <t>Exterior and site subtotal</t>
  </si>
  <si>
    <t>SOFT COSTS</t>
  </si>
  <si>
    <t>Structural engineering (PE) — panels, connections, roof</t>
  </si>
  <si>
    <t>spec open items</t>
  </si>
  <si>
    <t>Permits, plan review, inspections</t>
  </si>
  <si>
    <t>allowance; varies by jurisdiction</t>
  </si>
  <si>
    <t>Builder's risk insurance</t>
  </si>
  <si>
    <t>Supervision / general conditions</t>
  </si>
  <si>
    <t>site lead across the build; qty scaled by sf (1 at the reference house) — the engine's rule</t>
  </si>
  <si>
    <t>Soft costs subtotal</t>
  </si>
  <si>
    <t>EVERYTHING ELSE TOTAL (materials + labor, before contingency)</t>
  </si>
  <si>
    <t>Everything-else line items for the complete house estimate. Quantities derive from docs/floor-plan.json (rooms/fixtures) and wall.config.json (openings, MEP boxes) where a basis is given; unit prices are US mid-grade placeholders typed on 2026-09-06, NOT quotes. material = $ per unit; laborHours = man-hours per unit at the sheet's loaded rate, or laborFlat = $ per unit for trades priced by the job.</t>
  </si>
  <si>
    <t>Design switch: clerestory windows count only when the roof design is 'shed'. Excluded here and everywhere: septic system, land, furniture, landscaping, appliances beyond the listed ones.</t>
  </si>
  <si>
    <t>Quantities computed by the 3D model (docs/takeoff.json) vs the Walls / Roof formulas</t>
  </si>
  <si>
    <t>generated 2026-09-13T01:10:18.599Z from public/config/wall.config.json + src/pricing specToConfig (DEFAULT_SPEC, roof shed, foundation A) for the SHED design · regenerate with `npm run takeoff`; the Estimate column links to the formulas, Δ should be 0 for every row that has one while the Summary selector is on 'shed' (switching to another design moves the wall A height, the clerestory rows and the roof rows on purpose)</t>
  </si>
  <si>
    <t>Model value</t>
  </si>
  <si>
    <t>Estimate</t>
  </si>
  <si>
    <t>Δ</t>
  </si>
  <si>
    <t>A 10, B 7, C 10, D 7</t>
  </si>
  <si>
    <t>Solid / door / window panels</t>
  </si>
  <si>
    <t>21 / 1 / 12</t>
  </si>
  <si>
    <t>A1 door 36x84, A2 window 40x72, A3 window 40x72, A4 window 40x72, A5 window 40x72, A6 window 40x72, A7 window 40x72, A8 window 40x72, B1 window 36x48, C1 window 36x48, C5 window 24x24, C8 window 36x48, D2 window 36x48</t>
  </si>
  <si>
    <t>Panels with a clerestory band</t>
  </si>
  <si>
    <t>40x24 sill 120 on wall A</t>
  </si>
  <si>
    <t>Wall heights</t>
  </si>
  <si>
    <t>A 150 / B 120 / C 120 / D 120</t>
  </si>
  <si>
    <t>building.wallHeights overrides panel.height</t>
  </si>
  <si>
    <t>per the design selector (Roof tab)</t>
  </si>
  <si>
    <t>B/D between A and C</t>
  </si>
  <si>
    <t>2 + 1.5 + 6 + 2</t>
  </si>
  <si>
    <t>per-wall heights</t>
  </si>
  <si>
    <t>Opening area</t>
  </si>
  <si>
    <t>doors + windows + clerestories</t>
  </si>
  <si>
    <t>Net wall area</t>
  </si>
  <si>
    <t>Skin pour</t>
  </si>
  <si>
    <t>5" deep</t>
  </si>
  <si>
    <t>Cladding sheets</t>
  </si>
  <si>
    <t>2" thick</t>
  </si>
  <si>
    <t>Cavity fill</t>
  </si>
  <si>
    <t>4.5" deep</t>
  </si>
  <si>
    <t>Total cellular concrete, walls (neat)</t>
  </si>
  <si>
    <t>before waste</t>
  </si>
  <si>
    <t>Full studs</t>
  </si>
  <si>
    <t>600S162-54</t>
  </si>
  <si>
    <t>Jamb studs</t>
  </si>
  <si>
    <t>a window and the clerestory of the same width share jamb lines</t>
  </si>
  <si>
    <t>clerestory 40x24 sill 120 @ 150": 4/panel, cuts 6, 120"; door 36x84 sill 0 + clerestory 40x24 sill 120 @ 150": 4/panel, cuts 6, 36"; window 40x72 sill 24 + clerestory 40x24 sill 120 @ 150": 6/panel, cuts 6, 24"; window 36x48 sill 42 @ 120": 4/panel, cuts 30, 42"; window 24x24 sill 60 @ 120": 4/panel, cuts 36, 60"</t>
  </si>
  <si>
    <t>full pieces A 12.5 ft, B 10 ft, C 10 ft, D 10 ft</t>
  </si>
  <si>
    <t>68 pcs × 48"</t>
  </si>
  <si>
    <t>Top track (perimeter)</t>
  </si>
  <si>
    <t>outer footprint perimeter</t>
  </si>
  <si>
    <t>Track total</t>
  </si>
  <si>
    <t>Channel rows per panel (120" panels)</t>
  </si>
  <si>
    <t>stations [12, 60, 108]</t>
  </si>
  <si>
    <t>Channel rows per panel (150" panels)</t>
  </si>
  <si>
    <t>stations [12, 60, 108, 138]</t>
  </si>
  <si>
    <t>rows whose station lies inside an opening (sill..head) lose the span across the opening; the stubs each side remain</t>
  </si>
  <si>
    <t>a row station exactly on a sill/head counts as a crossing of the cripple ending there</t>
  </si>
  <si>
    <t>2 per channel/stud-segment crossing (config channel.screwsPerIntersection); crossings = 520</t>
  </si>
  <si>
    <t>Screws, stud to track</t>
  </si>
  <si>
    <t>4 per segment end (assumption, 2 per flange), 212 segments x 2 ends</t>
  </si>
  <si>
    <t>Screws, joints</t>
  </si>
  <si>
    <t>8 per joint (config) x 34 joints (closed loop: joints = panels)</t>
  </si>
  <si>
    <t>Screws, cladding</t>
  </si>
  <si>
    <t>12 per panel (assumption)</t>
  </si>
  <si>
    <t>2 per panel</t>
  </si>
  <si>
    <t>Mesh (no lap)</t>
  </si>
  <si>
    <t>2 layers × net sf</t>
  </si>
  <si>
    <t>MEP boxes</t>
  </si>
  <si>
    <t>33 outlet + 1 switch</t>
  </si>
  <si>
    <t>box to the top, or to the sill of the opening above it</t>
  </si>
  <si>
    <t>Drain</t>
  </si>
  <si>
    <t>to the top, or to the sill of a window over the drain line</t>
  </si>
  <si>
    <t>Supply</t>
  </si>
  <si>
    <t>4 slots × 150" (tallest panel)</t>
  </si>
  <si>
    <t>Edge form</t>
  </si>
  <si>
    <t>8" tall</t>
  </si>
  <si>
    <t>ROOF (roofTakeoff) — Roof tab</t>
  </si>
  <si>
    <t>shed 1"/ft, 3 strips, 800S162-68</t>
  </si>
  <si>
    <t>Roof plan width</t>
  </si>
  <si>
    <t>X + 2 × side overhang</t>
  </si>
  <si>
    <t>Roof plan depth</t>
  </si>
  <si>
    <t>Z + front + back overhang</t>
  </si>
  <si>
    <t>Roof rise</t>
  </si>
  <si>
    <t>wall A − wall C</t>
  </si>
  <si>
    <t>Flat-design cap build-up (avg)</t>
  </si>
  <si>
    <t>0 for the shed</t>
  </si>
  <si>
    <t>Roof area (slope)</t>
  </si>
  <si>
    <t>Strip length (front / longest)</t>
  </si>
  <si>
    <t>sloped</t>
  </si>
  <si>
    <t>Strip length, back slope (gable)</t>
  </si>
  <si>
    <t>0 unless gable</t>
  </si>
  <si>
    <t>Roof studs per strip</t>
  </si>
  <si>
    <t>Roof stud length</t>
  </si>
  <si>
    <t>36 pcs</t>
  </si>
  <si>
    <t>Roof channel rows per strip (front)</t>
  </si>
  <si>
    <t>Roof channel rows per strip, back slope (gable)</t>
  </si>
  <si>
    <t>Roof track</t>
  </si>
  <si>
    <t>Roof spacers (= crossings)</t>
  </si>
  <si>
    <t>Roof screws</t>
  </si>
  <si>
    <t>Roof mesh (no lap)</t>
  </si>
  <si>
    <t>6.5" deep</t>
  </si>
  <si>
    <t>7" deep + the flat build-up</t>
  </si>
  <si>
    <t>Roof cellular concrete (neat)</t>
  </si>
  <si>
    <t>stack 13.5"</t>
  </si>
  <si>
    <t>Heaviest pick</t>
  </si>
  <si>
    <t>Rake infill</t>
  </si>
  <si>
    <t>two triangular wedges on the wall tops between the back wall height and the roof underside</t>
  </si>
  <si>
    <t>Clerestory glass</t>
  </si>
  <si>
    <t>10 openings</t>
  </si>
  <si>
    <t>Back pitch (gable, derived)</t>
  </si>
  <si>
    <t>in/ft</t>
  </si>
  <si>
    <t>Gable-end infill</t>
  </si>
  <si>
    <t>2 × ½ × inside depth × ridge rise × wall thickness; 0 unless gable</t>
  </si>
  <si>
    <t>Ridge beam</t>
  </si>
  <si>
    <t>plan width; 0 unless gable</t>
  </si>
  <si>
    <t>2 for the gable</t>
  </si>
  <si>
    <t>What each tab is</t>
  </si>
  <si>
    <t>• Summary — the house-level view: the two selectors (Roof design shed / flat / gable, Foundation A / B / B-plant), the one contingency %, the inside floor area from the plan, the Cost by section table (Materials | Labor | Total | $/sf of floor | % of total), the GRAND TOTAL and per-sf figures, the key quantities, basis and exclusions. Every number on it is a green link to a tab.</t>
  </si>
  <si>
    <t>• Walls — the wall-panel inputs (blue, mirroring wall.config.json), the opening groups (one block per distinct panel opening signature — door/window + clerestory at a panel height — with the count; groups that exist in only one design are multiplied by the clerestory flag so they drop to 0 for the other design), the mix and labor assumptions (yellow), the derived quantities that reproduce the 3D model, and the cost table with a Type column (Material / Labor) and M / L / T subtotals per category. The wall A height and the clerestory flag are green links from the Roof tab.</t>
  </si>
  <si>
    <t>• Roof — the Roof design cell (green link to the Summary selector) drives IF() inputs with three preset columns (shed / flat / gable): wall A height (150 / 120 / 120), clerestory flag (1 / 0 / 0), slope (1 / 1/16 / 4 in/ft), front overhang (24 / 12 / 24), back overhang (12 / 12 / 24), strips (3 / 3 / 6), ridge station (– / – / 191.5), roof stud (800S162-68 / same / 1000S200-97: depth 8 / 8 / 10, flange 1.625 / 1.625 / 2), and from them the slope factor (√(1+(slope/12)²), 1 for flat), the flat-design cap build-up, the gable's front and back runs, ridge rise and derived back pitch, the rake infill (shed only) and the gable-end infill (gable only). Then the roof quantities (roofTakeoff rules, summed over both slopes for the gable) and the roof cost table typed M / L: studs and track at the price of the selected design, channel, screws, spacers, inserts, mesh, ground + top pour + rake / gable-end infill at Ken's $/yd³, liner and edge forms, clerestory glazing (shed only), crane day(s), ridge beam allowance (gable only), Eco Finish $8/sf, roof labor (pick day × crane days).</t>
  </si>
  <si>
    <t>• Manufacturing — the panels as a product (docs/manufacturing-model.md): the monthly plant overhead (four yellow lines), crew and hours → overhead rate per plant man-hour; the per-house plant P&amp;L for walls and roof side by side (plant material, plant labor, plant hours, overhead allocation = hours × rate, plant cost, margin, SELL PRICE, $/panel and $/roof sf, average panel price by wall); the site work totals; the monthly capacity view (houses per month, revenue, cost, overhead, profit, weeks of plant time per house).</t>
  </si>
  <si>
    <t>• Floor options — Option A slab on grade with a thickened edge vs Option B strip footings + a floor panel (the roof panel turned finish-face up, ground pour only, crane day), site-built at builder cost, vs B-plant: the same footings and panel with the panel bought from the plant at its SELL PRICE. The Option B lines are sided Plant (the panel: studs, track, channel, screws, spacers, inserts, mesh, ground pour, liner, lumber, framing / mesh / ground-pour labor at the roof productivities) or Site (excavation, footings, rebar, forms, footing labor, crane, pick/set); a plant / site split with the plant hours sits under the Option B subtotal, the B-plant block builds the sell price, and the comparison shows A | B | B-plant with $/sf. The Summary picks one with its Foundation selector.</t>
  </si>
  <si>
    <t>• Everything else — docs/house-items.json: PLUMBING, ELECTRICAL, LIGHT FIXTURES, HEATING / COOLING (an options block: the selector cell A / B / C counts only the chosen system, the ERV add-on has a yes/no cell), KITCHEN, BATHROOMS, FLOORING, DOORS AND WINDOWS (the clerestory window line is × the clerestory flag), INTERIOR FINISH, EXTERIOR AND SITE, SOFT COSTS. Columns: Item | Qty | Unit | Material $/unit | Material $ | Labor hours/unit or flat $ | Labor $ | Total | Basis; hours × the loaded rate from the Walls tab. Quantities with a model basis (MEP boxes, net wall area, inside floor area) are green links; the rest are blue from the plan.</t>
  </si>
  <si>
    <t>• Model takeoff — every quantity from docs/estimate/models/takeoff/house-shed-slab.json (generated for the shed design by the pricing engine for this model) beside the Walls / Roof formula that should reproduce it, with a Δ column. All Δ = 0 while the Summary is on "shed"; switching the design moves the wall A height, clerestory, opening-area and roof rows on purpose.</t>
  </si>
  <si>
    <t>How the selectors work</t>
  </si>
  <si>
    <t>• Roof design (Summary B6, list shed / flat / gable): Roof tab → active values by IF(design = "shed", …, IF(design = "flat", …, gable)) → Walls tab HA and clOn (green links) → every wall quantity (gross area, studs cut to 12'-6" vs 10', 4 vs 3 channel rows on wall A, clerestory jambs/headers/sills, opening area, net area, concrete, mesh, labor) → Walls total → Summary. The Everything else clerestory window line and the Roof glazing line go to 0 for flat and gable; the rake infill goes to 0; flat: the top pour gains the drainage build-up; gable: the gable-end infill, ridge beam allowance and second crane day come in, the strips double and the stud price switches to the 1000S200-97 input. The walls of the flat and gable designs are identical (every panel 10', no band).</t>
  </si>
  <si>
    <t>• Foundation (Summary B7, list A / B / B-plant): A and B fill the one Summary floor row with the Option A or the site-built Option B M / L subtotals (the floor site-work row is 0). B-plant puts the floor panel SELL PRICE (Floor options B-plant block) in the Materials column of the first floor row — renamed "Floor panels, manufactured — sell price", excluded from the contingency like the wall and roof rows — and the Option B Site lines (footings, crane, set) in the "Floor, site work" row with contingency. The Manufacturing tab's Floor panels column, the "All panels" column and the capacity view pick the floor panel up only under B-plant.</t>
  </si>
  <si>
    <t>• Heating (Everything else, list A / B / C) and ERV (yes / no): the option rows' quantities are IF(selector = option, 1, 0) × qty, so only one system counts; the ERV row is IF(yes, 1, 0).</t>
  </si>
  <si>
    <t>• Contingency (Summary B8): one %, applied to the subtotal LESS the panel sell-price rows (walls, roof, and the floor panel under B-plant — the builder's own costs: site work, floor, everything else carry it); the Walls / Roof "as bought" per-sf lines use the same cell on their site work.</t>
  </si>
  <si>
    <t>Manufacturing model (7 Sep 2026)</t>
  </si>
  <si>
    <t>• What changed: the old Summary "Panel manufacturing margin" % row is gone. Every Walls and Roof cost line now carries a Side — Plant (cast in the bed / yard: steel, mesh, skin pour, cladding sheets, spacers, bed form, and the bed-side labor; roof studs, track, channel, screws, spacers, inserts, mesh, ground pour, ground form and their labor) or Site (top track, joint + cladding screws, anchors, cavity fill, MEP allowance, set / screw / wire / clad / pump labor; roof top pour, rake, glazing, crane, membrane, top-pour and pick-day labor). The per-side subtotals are SUMIFS over Type + Side; the category subtotals and the WALLS / ROOF TOTAL rows are unchanged (plant + site = the old totals — a zero check sits under each split).</t>
  </si>
  <si>
    <t>• The Manufacturing tab prices the Plant lines as a product: plant cost = plant material + plant labor + plant hours × the overhead rate (monthly overhead ÷ monthly plant man-hours); sell price = plant cost × (1 + margin). The Summary buys the wall and roof panels at that sell price (whole price in the Materials column, no contingency on it) and carries the site work, floor and everything else at builder cost with contingency; builder O&amp;P then applies to the whole. Info rows under the grand total show the manufacturing profit and the plant overhead recovered inside the price.</t>
  </si>
  <si>
    <t>• Placeholders (yellow on the Manufacturing tab): shop/yard lease $3,000, equipment $2,500, utilities/insurance/consumables $1,500, supervision + admin $5,000 per month; 3-person crew × 160 h = 480 plant man-hours/month → $25.00 per plant man-hour; margin 20 %. Ken replaces the overhead.</t>
  </si>
  <si>
    <t>• Option B floor panels as plant product — "provide both" (Ken, 7 Sep 2026; docs/manufacturing-model.md §7): the Floor options tab keeps Option A and the site-built Option B exactly as before (same lines, same totals — the split only tags each Option B line Plant or Site and links the three plant labor productivities to the Roof tab, where they already had the same values) and adds B-plant: the same footings + the floor panel at (plant material + plant labor + plant hours × overhead rate) × (1 + margin), the walls / roof formula. The difference between the two B columns is exactly the plant's overhead + margin on the panel (a zero check sits under the comparison). The floor panel takeoff is the roof-strip rules on ONE panel the width of the footprint (strips = 1): studs across X at the roof spacing spanning Z on the two end footings and the midspan line, channel rows along Z, screws and spacers at every crossing, one set of lift inserts, mesh and ground pour on the panel area, liner with lap, the perimeter as the edge form. Under B-plant the Summary shows two floor rows (sell price, no contingency; site work with contingency), the Manufacturing tab's third column goes live and the floor hours count against the monthly plant capacity.</t>
  </si>
  <si>
    <t>Gable roof (Option 2, 7 Sep 2026 — docs/gable-roof.md)</t>
  </si>
  <si>
    <t>• Geometry: the ridge runs along X over roof.ridgeZ = 191.5" from the outside face of wall A (wall thickness 11.5 + the plan's 180" open-zone depth = the bedroom bearing line). Both eaves sit on the 10' wall tops, so every wall panel is the standard height and there is no clerestory and no rake. The front pitch is the input (4"/ft); the ridge rise = 4/12 × the front run (ridgeZ + 24" front overhang = 215.5") = 71.8", ridge height 191.8". The back slope drops the same rise over the back run ((359 − 191.5) + 24 = 191.5"), so its pitch is derived (≈ 4.5:12), not an input. Overhangs 24 front / 24 back / 12 sides.</t>
  </si>
  <si>
    <t>• Quantities (roofTakeoff rules per slope, then summed): plan width 504" ÷ 3 strips per slope = 168" strips; front strips 227.2" long, back strips 204.5"; roof area = 504 × (227.2 + 204.5) / 144 ≈ 1,511 sf; 12 studs per strip on 1000S200-97 (10" web, 2" flange, 97 mil — stack 2 + 1.5 + 10 + 2 = 15.5", top pour 9"); channel rows 6 front / 5 back; studs ≈ 1,295 lf, track 168 lf, channel 462 lf, 396 crossings, 48 inserts; ground pour ≈ 30.3 yd³, top pour ≈ 42.0 yd³ (no flat build-up); heaviest pick ≈ 6,080 lb (a front strip); gable-end infill 2 × ½ × (359 − 23) × 71.8 × 11.5 / 1728 / 27 ≈ 5.95 yd³ (gableInfillFt3 in src/geometry/roof.js); ridge beam 42 lf; two crane days (six picks).</t>
  </si>
  <si>
    <t>• Pricing differences from shed / flat: studs and track at the yellow 1000S200-97 input ($3.10/lf placeholder — not on the May 2025 list; the 800S162-68 proxy stays $2.42 for shed / flat); a ridge beam + posts allowance line (Site, $3,500 placeholder, qty 1 for the gable, else 0); the gable-end infill line replaces the rake infill (Site, cellular concrete at the mix $/yd³ with waste); the crane line carries 2 days and the pick / set / tie-down labor is 32 h × 2; the membrane and top pour cover both slopes. Everything else: the clerestory window line is 0; doors and windows count as for flat. The Manufacturing tab and the Summary follow through the links (plant hours rise with the roof area; the sell price and $/sf are the gable's own).</t>
  </si>
  <si>
    <t>Geometry basis</t>
  </si>
  <si>
    <t>• docs/wall-contract.md and public/config/wall.config.json — the same numbers the 3D model renders (src/geometry/walls.js, src/geometry/roof.js). The designs presets in the config are the shed / flat values on the Roof tab.</t>
  </si>
  <si>
    <t>• Sequence: panels cast flat in a reusable bed (interior finish face down: skin, channel + mesh, studs, skin pour to 5"), cured 7 days, stood on the slab or floor panel, screwed together through the mating edge studs, anchored, wired and plumbed in the open cavity, closed with a 2" cladding sheet, cavity pumped full, continuous top track, then the roof strips are set and topped.</t>
  </si>
  <si>
    <t>• Shed (Option 3): the front wall A is 12'-6" so the roof plane rising 1"/ft over the 29'-11" depth lands on it; every wall-A panel carries a 40" × 24" clerestory opening above its door/window (sill 120). Walls B/D get a triangular rake infill under the slope. Flat (Option 1): all walls 10', no clerestory, the 1/16"/ft drainage slope is cast into the top pour (averaged over the plan depth), 12" front overhang. Gable (Option 2): all walls 10', two slopes from a ridge over the bearing line, triangular gable-end infill on walls B/D (see the Gable paragraph above).</t>
  </si>
  <si>
    <t>• Stud rule: regular studs at 0, 16, 32 … across the width while they sit inside the far edge by a flange, plus a closing edge stud. Studs whose line falls inside an opening become cripples above the head and below the sill (and between the window head and the clerestory sill on wall A); a jamb stud is added on each side of each opening — a window and the clerestory of the same width share their jamb lines; header (and sill) pieces of track run jamb to jamb.</t>
  </si>
  <si>
    <t>• Channel rows: from 12" in at 48" plus a closing row 12" from the far end — 3 rows on a 10' panel, 4 on a 12'-6" panel. A row whose station lies between the sill and the head of an opening loses the span across the opening. Spacers and channel-to-stud screws are counted at every channel/stud-segment crossing.</t>
  </si>
  <si>
    <t>• Cellular concrete: three wall volumes on the net wall area — skin pour depth, cladding thickness, cavity fill depth — plus the roof ground pour, top pour and the rake infill, all priced per yd³ as cement $/yd³ + foam $/yd³ (Ken: $200 + $20 at 600 lb Portland/yd³). Volumes ignore the steel, box and pipe displacement (well under 1 %).</t>
  </si>
  <si>
    <t>Assumptions that are not in the model config (yellow)</t>
  </si>
  <si>
    <t>• Stud-to-track screws: 4 per stud-segment end (2 per flange); cladding screws: 12 per panel; steel cut waste 10 % on track, channel and cripples; concrete waste 10 %; mesh lap 10 %. Joints = panels (closed loop); joint screws per joint from the config (8) — the pattern is an open item for the PE.</t>
  </si>
  <si>
    <t>• Roof: 0.12 mh/sf framing, 0.03 mh/sf mesh, 1.5 mh/yd³ ground pour, 2.0 mh/yd³ top pour, 32 mh per pick day (× 2 crane days for the gable) (roof v6 basis); clerestory glazing $60/sf and the $1,500 crane day are allowances from docs/roof-options.html; Eco Finish $8/sf on the roof area. The 800S162-68 roof stud is carried at the 6" 68-mil list rate as a proxy; the gable's 1000S200-97 stud and 1000T track at a $3.10/lf placeholder; the gable ridge beam + posts at a $3,500 allowance.</t>
  </si>
  <si>
    <t>• Everything else: US mid-grade placeholder prices typed on 2026-09-06 (docs/house-items.json); quantities from the floor plan (rooms, fixtures, partitions ≈ 60 lf, base ≈ 300 lf) and the config (openings, MEP boxes).</t>
  </si>
  <si>
    <t>PLACEHOLDER WARNING</t>
  </si>
  <si>
    <t>• Only the cellular-concrete $/yd³ (Ken) and the steel list prices have a source. Every other yellow cell — ready-mix, gravel, rebar, mesh, screws, inserts, liner, lumber, crane, every Everything else price, every labor hour and the $35/mh loaded rate — is a placeholder for order-of-magnitude only. Replace each with a quote before the numbers are shown as a budget.</t>
  </si>
  <si>
    <t>What is NOT in this estimate</t>
  </si>
  <si>
    <t>• Septic system, land, furniture, landscaping, appliances beyond the listed ones (refrigerator, range, dishwasher, microwave, washer + dryer), concrete pump rental, freight, sales tax, financing. The exterior wall finish is a $0 line until Ken chooses a coating (no Eco Finish on the walls). Utility connections and excavation are allowances only.</t>
  </si>
  <si>
    <t>Steel price reference (not a quote)</t>
  </si>
  <si>
    <t>• Studs, track and channel unit prices are US Frame Factory's published list, updated 5/1/2025 (usframefactory.com/current-metal-stud-pricing): 600S162-54 $1.94/lf; 600T200-54 $1.94/lf (used as the proxy for the 600T125-54 track, which was not listed); 600S162-68 $2.42/lf (proxy for the 800S162-68 roof stud and the 800T track); CRC 150U50-54 $11.67 per 16 ft piece = $0.73/lf. The gable's 1000S200-97 is not on that list — $3.10/lf is a placeholder (yellow on the Roof tab).</t>
  </si>
  <si>
    <t>• Other distributors listing the same sections (prices on request): Capital Materials, JB Materials, Pioneer Materials West, Tamarack Materials, Rocky Top Materials.</t>
  </si>
  <si>
    <t>How to update</t>
  </si>
  <si>
    <t>• Change any blue input and the quantities recalculate; replace every yellow price with a quote; pick the design, foundation and heating from the lists.</t>
  </si>
  <si>
    <t>• If the config, the plan or docs/house-items.json changes: run `npm run takeoff` then `python scripts/build-estimate.py` to regenerate this workbook (one model: `node scripts/takeoff.js --design … --foundation … --out …` then the builder with `--design / --foundation / --takeoff / --out`; `python scripts/build-all-estimates.py` rebuilds every workbook, recalculates them in Excel and checks each against the engine), then open it in Excel once (or recalc through Excel COM) so the cached values refresh. LibreOffice-safe functions only (IF, SUM, SUMIFS, ROUND, ROUNDUP, SQRT, MOD, INT, MAX, MIN).</t>
  </si>
  <si>
    <t>Open items that move the numbers: stud gauge / PE sizing (54 mil walls, 8" 68-mil roof studs assumed; 10" 97-mil clear-spanning each gable slope), joint screw pattern, slab anchor spec and spacing, cavity fill mix and density, cellular concrete supplier mix (density, 7-day strength), rake / gable-end infill casting detail, the gable ridge beam and post sizes (allowance only) and the 1000S200-97 price, clerestory frames and their anchoring to the jambs, handling the 12'-6" panels in the bed and at the pick, sloped top track on walls B/D, the exterior wall finish, the HVAC choice, septic vs sewer.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</si>
</sst>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164" formatCode="\$#,##0.00"/>
    <numFmt numFmtId="165" formatCode="0.0"/>
    <numFmt numFmtId="166" formatCode="#,##0.0"/>
    <numFmt numFmtId="167" formatCode="\$#,##0"/>
    <numFmt numFmtId="168" formatCode="\$#,##0.00;\(\$#,##0.00\);\-"/>
    <numFmt numFmtId="169" formatCode="0\ &quot;panels&quot;"/>
    <numFmt numFmtId="170" formatCode="0\ &quot;in&quot;"/>
    <numFmt numFmtId="171" formatCode="#,##0\ &quot;sf&quot;"/>
    <numFmt numFmtId="172" formatCode="#,##0\ &quot;sf net&quot;"/>
    <numFmt numFmtId="173" formatCode="#,##0.0\ &quot;yd³&quot;"/>
    <numFmt numFmtId="174" formatCode="#,##0\ &quot;lb&quot;"/>
    <numFmt numFmtId="175" formatCode="0\ &quot;pcs&quot;"/>
    <numFmt numFmtId="176" formatCode="#,##0\ &quot;lf&quot;"/>
    <numFmt numFmtId="177" formatCode="\$#,##0\ &quot;site&quot;"/>
    <numFmt numFmtId="178" formatCode="0.0000"/>
    <numFmt numFmtId="179" formatCode="\$#,##0;\(\$#,##0\);\-"/>
    <numFmt numFmtId="180" formatCode="0.00\ &quot;h/unit&quot;"/>
    <numFmt numFmtId="181" formatCode="\$#,##0\ &quot;flat/unit&quot;"/>
    <numFmt numFmtId="182" formatCode="#,##0.00\ &quot;sf&quot;"/>
    <numFmt numFmtId="183" formatCode="0.0%"/>
    <numFmt numFmtId="184" formatCode="\$#,##0\ &quot;/panel&quot;"/>
    <numFmt numFmtId="185" formatCode="\$#,##0.00\ &quot;/sf&quot;"/>
    <numFmt numFmtId="186" formatCode="0.00\ &quot;ft&quot;"/>
    <numFmt numFmtId="187" formatCode="0\ &quot;ea&quot;"/>
    <numFmt numFmtId="188" formatCode="#,##0.0\ &quot;sf glass&quot;"/>
    <numFmt numFmtId="189" formatCode="0.0\ &quot;ft&quot;"/>
    <numFmt numFmtId="190" formatCode="#,##0.0\ &quot;yd³ infill&quot;"/>
    <numFmt numFmtId="191" formatCode="0\ &quot;strips&quot;"/>
    <numFmt numFmtId="192" formatCode="0.0\ &quot;in&quot;"/>
    <numFmt numFmtId="193" formatCode="0\ &quot;lf ridge beam&quot;"/>
    <numFmt numFmtId="194" formatCode="0\ &quot;crane days&quot;"/>
    <numFmt numFmtId="195" formatCode="0\ &quot;cycles&quot;"/>
  </numFmts>
  <fonts count="14" x14ac:knownFonts="1">
    <font>
      <sz val="11"/>
      <color theme="1"/>
      <name val="Calibri"/>
      <family val="2"/>
      <scheme val="minor"/>
    </font>
    <font>
      <b/>
      <sz val="14"/>
      <name val="Arial"/>
    </font>
    <font>
      <i/>
      <sz val="9"/>
      <color rgb="FF555555"/>
      <name val="Arial"/>
    </font>
    <font>
      <b/>
      <sz val="11"/>
      <color rgb="FFFFFFFF"/>
      <name val="Arial"/>
    </font>
    <font>
      <sz val="10"/>
      <name val="Arial"/>
    </font>
    <font>
      <sz val="10"/>
      <color rgb="FF0000FF"/>
      <name val="Arial"/>
    </font>
    <font>
      <sz val="10"/>
      <color rgb="FF008000"/>
      <name val="Arial"/>
    </font>
    <font>
      <b/>
      <sz val="10"/>
      <name val="Arial"/>
    </font>
    <font>
      <b/>
      <sz val="11"/>
      <name val="Arial"/>
    </font>
    <font>
      <u/>
      <sz val="10"/>
      <color rgb="FF0000FF"/>
      <name val="Arial"/>
    </font>
    <font>
      <b/>
      <sz val="16"/>
      <name val="Arial"/>
    </font>
    <font>
      <b/>
      <sz val="12"/>
      <name val="Arial"/>
    </font>
    <font>
      <b/>
      <sz val="12"/>
      <color rgb="FF008000"/>
      <name val="Arial"/>
    </font>
    <font>
      <sz val="10"/>
      <color theme="1"/>
      <name val="Arial"/>
    </font>
  </fonts>
  <fills count="6">
    <fill>
      <patternFill patternType="none"/>
    </fill>
    <fill>
      <patternFill patternType="gray125"/>
    </fill>
    <fill>
      <patternFill patternType="solid">
        <fgColor rgb="FF2B5797"/>
      </patternFill>
    </fill>
    <fill>
      <patternFill patternType="solid">
        <fgColor rgb="FFFFFF00"/>
      </patternFill>
    </fill>
    <fill>
      <patternFill patternType="solid">
        <fgColor rgb="FFDCE6F1"/>
      </patternFill>
    </fill>
    <fill>
      <patternFill patternType="solid">
        <fgColor rgb="FFE2EFDA"/>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127">
    <xf numFmtId="0" fontId="0" fillId="0" borderId="0" xfId="0"/>
    <xf numFmtId="0" fontId="10" fillId="0" borderId="0" xfId="0" applyFont="1"/>
    <xf numFmtId="0" fontId="2" fillId="0" borderId="0" xfId="0" applyFont="1"/>
    <xf numFmtId="0" fontId="9" fillId="0" borderId="0" xfId="0" applyFont="1"/>
    <xf numFmtId="0" fontId="3" fillId="2" borderId="0" xfId="0" applyFont="1" applyFill="1"/>
    <xf numFmtId="0" fontId="0" fillId="2" borderId="0" xfId="0" applyFill="1"/>
    <xf numFmtId="0" fontId="7" fillId="0" borderId="0" xfId="0" applyFont="1"/>
    <xf numFmtId="0" fontId="5" fillId="3" borderId="1" xfId="0" applyFont="1" applyFill="1" applyBorder="1"/>
    <xf numFmtId="9" fontId="5" fillId="3" borderId="1" xfId="0" applyNumberFormat="1" applyFont="1" applyFill="1" applyBorder="1"/>
    <xf numFmtId="182" fontId="5" fillId="0" borderId="1" xfId="0" applyNumberFormat="1" applyFont="1" applyBorder="1"/>
    <xf numFmtId="0" fontId="6" fillId="0" borderId="0" xfId="0" applyFont="1"/>
    <xf numFmtId="0" fontId="7" fillId="4" borderId="1" xfId="0" applyFont="1" applyFill="1" applyBorder="1"/>
    <xf numFmtId="167" fontId="6" fillId="0" borderId="1" xfId="0" applyNumberFormat="1" applyFont="1" applyBorder="1"/>
    <xf numFmtId="167" fontId="13" fillId="0" borderId="1" xfId="0" applyNumberFormat="1" applyFont="1" applyBorder="1"/>
    <xf numFmtId="164" fontId="13" fillId="0" borderId="1" xfId="0" applyNumberFormat="1" applyFont="1" applyBorder="1"/>
    <xf numFmtId="183" fontId="2" fillId="0" borderId="0" xfId="0" applyNumberFormat="1" applyFont="1"/>
    <xf numFmtId="0" fontId="7" fillId="4" borderId="0" xfId="0" applyFont="1" applyFill="1"/>
    <xf numFmtId="167" fontId="7" fillId="4" borderId="1" xfId="0" applyNumberFormat="1" applyFont="1" applyFill="1" applyBorder="1"/>
    <xf numFmtId="164" fontId="7" fillId="4" borderId="0" xfId="0" applyNumberFormat="1" applyFont="1" applyFill="1"/>
    <xf numFmtId="183" fontId="7" fillId="4" borderId="0" xfId="0" applyNumberFormat="1" applyFont="1" applyFill="1"/>
    <xf numFmtId="0" fontId="0" fillId="4" borderId="0" xfId="0" applyFill="1"/>
    <xf numFmtId="0" fontId="4" fillId="0" borderId="0" xfId="0" applyFont="1"/>
    <xf numFmtId="164" fontId="13" fillId="0" borderId="0" xfId="0" applyNumberFormat="1" applyFont="1"/>
    <xf numFmtId="183" fontId="7" fillId="0" borderId="0" xfId="0" applyNumberFormat="1" applyFont="1"/>
    <xf numFmtId="0" fontId="11" fillId="5" borderId="0" xfId="0" applyFont="1" applyFill="1"/>
    <xf numFmtId="167" fontId="12" fillId="5" borderId="1" xfId="0" applyNumberFormat="1" applyFont="1" applyFill="1" applyBorder="1"/>
    <xf numFmtId="167" fontId="11" fillId="5" borderId="1" xfId="0" applyNumberFormat="1" applyFont="1" applyFill="1" applyBorder="1"/>
    <xf numFmtId="164" fontId="11" fillId="5" borderId="0" xfId="0" applyNumberFormat="1" applyFont="1" applyFill="1"/>
    <xf numFmtId="183" fontId="7" fillId="5" borderId="0" xfId="0" applyNumberFormat="1" applyFont="1" applyFill="1"/>
    <xf numFmtId="0" fontId="2" fillId="5" borderId="0" xfId="0" applyFont="1" applyFill="1"/>
    <xf numFmtId="164" fontId="2" fillId="0" borderId="0" xfId="0" applyNumberFormat="1" applyFont="1"/>
    <xf numFmtId="164" fontId="7" fillId="0" borderId="1" xfId="0" applyNumberFormat="1" applyFont="1" applyBorder="1"/>
    <xf numFmtId="164" fontId="6" fillId="0" borderId="1" xfId="0" applyNumberFormat="1" applyFont="1" applyBorder="1"/>
    <xf numFmtId="184" fontId="6" fillId="0" borderId="0" xfId="0" applyNumberFormat="1" applyFont="1"/>
    <xf numFmtId="184" fontId="6" fillId="0" borderId="1" xfId="0" applyNumberFormat="1" applyFont="1" applyBorder="1"/>
    <xf numFmtId="185" fontId="6" fillId="0" borderId="0" xfId="0" applyNumberFormat="1" applyFont="1"/>
    <xf numFmtId="169" fontId="6" fillId="0" borderId="1" xfId="0" applyNumberFormat="1" applyFont="1" applyBorder="1"/>
    <xf numFmtId="170" fontId="6" fillId="0" borderId="1" xfId="0" applyNumberFormat="1" applyFont="1" applyBorder="1"/>
    <xf numFmtId="186" fontId="6" fillId="0" borderId="0" xfId="0" applyNumberFormat="1" applyFont="1"/>
    <xf numFmtId="187" fontId="6" fillId="0" borderId="1" xfId="0" applyNumberFormat="1" applyFont="1" applyBorder="1"/>
    <xf numFmtId="188" fontId="6" fillId="0" borderId="0" xfId="0" applyNumberFormat="1" applyFont="1"/>
    <xf numFmtId="189" fontId="6" fillId="0" borderId="1" xfId="0" applyNumberFormat="1" applyFont="1" applyBorder="1"/>
    <xf numFmtId="189" fontId="6" fillId="0" borderId="0" xfId="0" applyNumberFormat="1" applyFont="1"/>
    <xf numFmtId="171" fontId="6" fillId="0" borderId="1" xfId="0" applyNumberFormat="1" applyFont="1" applyBorder="1"/>
    <xf numFmtId="172" fontId="6" fillId="0" borderId="0" xfId="0" applyNumberFormat="1" applyFont="1"/>
    <xf numFmtId="173" fontId="6" fillId="0" borderId="1" xfId="0" applyNumberFormat="1" applyFont="1" applyBorder="1"/>
    <xf numFmtId="173" fontId="6" fillId="0" borderId="0" xfId="0" applyNumberFormat="1" applyFont="1"/>
    <xf numFmtId="190" fontId="6" fillId="0" borderId="0" xfId="0" applyNumberFormat="1" applyFont="1"/>
    <xf numFmtId="178" fontId="6" fillId="0" borderId="0" xfId="0" applyNumberFormat="1" applyFont="1"/>
    <xf numFmtId="191" fontId="6" fillId="0" borderId="0" xfId="0" applyNumberFormat="1" applyFont="1"/>
    <xf numFmtId="192" fontId="6" fillId="0" borderId="1" xfId="0" applyNumberFormat="1" applyFont="1" applyBorder="1"/>
    <xf numFmtId="193" fontId="6" fillId="0" borderId="0" xfId="0" applyNumberFormat="1" applyFont="1"/>
    <xf numFmtId="174" fontId="6" fillId="0" borderId="1" xfId="0" applyNumberFormat="1" applyFont="1" applyBorder="1"/>
    <xf numFmtId="175" fontId="6" fillId="0" borderId="1" xfId="0" applyNumberFormat="1" applyFont="1" applyBorder="1"/>
    <xf numFmtId="176" fontId="6" fillId="0" borderId="0" xfId="0" applyNumberFormat="1" applyFont="1"/>
    <xf numFmtId="176" fontId="6" fillId="0" borderId="1" xfId="0" applyNumberFormat="1" applyFont="1" applyBorder="1"/>
    <xf numFmtId="174" fontId="6" fillId="0" borderId="0" xfId="0" applyNumberFormat="1" applyFont="1"/>
    <xf numFmtId="194" fontId="6" fillId="0" borderId="0" xfId="0" applyNumberFormat="1" applyFont="1"/>
    <xf numFmtId="195" fontId="6" fillId="0" borderId="1" xfId="0" applyNumberFormat="1" applyFont="1" applyBorder="1"/>
    <xf numFmtId="167" fontId="6" fillId="0" borderId="0" xfId="0" applyNumberFormat="1" applyFont="1"/>
    <xf numFmtId="0" fontId="1" fillId="0" borderId="0" xfId="0" applyFont="1"/>
    <xf numFmtId="169" fontId="7" fillId="0" borderId="1" xfId="0" applyNumberFormat="1" applyFont="1" applyBorder="1"/>
    <xf numFmtId="170" fontId="7" fillId="0" borderId="1" xfId="0" applyNumberFormat="1" applyFont="1" applyBorder="1"/>
    <xf numFmtId="171" fontId="7" fillId="0" borderId="1" xfId="0" applyNumberFormat="1" applyFont="1" applyBorder="1"/>
    <xf numFmtId="172" fontId="13" fillId="0" borderId="0" xfId="0" applyNumberFormat="1" applyFont="1"/>
    <xf numFmtId="173" fontId="7" fillId="0" borderId="1" xfId="0" applyNumberFormat="1" applyFont="1" applyBorder="1"/>
    <xf numFmtId="174" fontId="7" fillId="0" borderId="1" xfId="0" applyNumberFormat="1" applyFont="1" applyBorder="1"/>
    <xf numFmtId="175" fontId="7" fillId="0" borderId="1" xfId="0" applyNumberFormat="1" applyFont="1" applyBorder="1"/>
    <xf numFmtId="176" fontId="13" fillId="0" borderId="0" xfId="0" applyNumberFormat="1" applyFont="1"/>
    <xf numFmtId="167" fontId="7" fillId="0" borderId="1" xfId="0" applyNumberFormat="1" applyFont="1" applyBorder="1"/>
    <xf numFmtId="177" fontId="13" fillId="0" borderId="0" xfId="0" applyNumberFormat="1" applyFont="1"/>
    <xf numFmtId="0" fontId="5" fillId="0" borderId="1" xfId="0" applyFont="1" applyBorder="1"/>
    <xf numFmtId="0" fontId="6" fillId="0" borderId="1" xfId="0" applyFont="1" applyBorder="1"/>
    <xf numFmtId="1" fontId="6" fillId="0" borderId="1" xfId="0" applyNumberFormat="1" applyFont="1" applyBorder="1"/>
    <xf numFmtId="1" fontId="4" fillId="0" borderId="1" xfId="0" applyNumberFormat="1" applyFont="1" applyBorder="1"/>
    <xf numFmtId="3" fontId="5" fillId="3" borderId="1" xfId="0" applyNumberFormat="1" applyFont="1" applyFill="1" applyBorder="1"/>
    <xf numFmtId="164" fontId="5" fillId="3" borderId="1" xfId="0" applyNumberFormat="1" applyFont="1" applyFill="1" applyBorder="1"/>
    <xf numFmtId="9" fontId="6" fillId="0" borderId="1" xfId="0" applyNumberFormat="1" applyFont="1" applyBorder="1"/>
    <xf numFmtId="2" fontId="5" fillId="3" borderId="1" xfId="0" applyNumberFormat="1" applyFont="1" applyFill="1" applyBorder="1"/>
    <xf numFmtId="165" fontId="5" fillId="3" borderId="1" xfId="0" applyNumberFormat="1" applyFont="1" applyFill="1" applyBorder="1"/>
    <xf numFmtId="4" fontId="4" fillId="0" borderId="1" xfId="0" applyNumberFormat="1" applyFont="1" applyBorder="1"/>
    <xf numFmtId="166" fontId="4" fillId="0" borderId="1" xfId="0" applyNumberFormat="1" applyFont="1" applyBorder="1"/>
    <xf numFmtId="2" fontId="4" fillId="0" borderId="1" xfId="0" applyNumberFormat="1" applyFont="1" applyBorder="1"/>
    <xf numFmtId="3" fontId="4" fillId="0" borderId="1" xfId="0" applyNumberFormat="1" applyFont="1" applyBorder="1"/>
    <xf numFmtId="0" fontId="4" fillId="0" borderId="1" xfId="0" applyFont="1" applyBorder="1"/>
    <xf numFmtId="166" fontId="13" fillId="0" borderId="1" xfId="0" applyNumberFormat="1" applyFont="1" applyBorder="1"/>
    <xf numFmtId="0" fontId="2" fillId="0" borderId="1" xfId="0" applyFont="1" applyBorder="1"/>
    <xf numFmtId="3" fontId="13" fillId="0" borderId="1" xfId="0" applyNumberFormat="1" applyFont="1" applyBorder="1"/>
    <xf numFmtId="167" fontId="7" fillId="4" borderId="0" xfId="0" applyNumberFormat="1" applyFont="1" applyFill="1"/>
    <xf numFmtId="164" fontId="4" fillId="0" borderId="1" xfId="0" applyNumberFormat="1" applyFont="1" applyBorder="1"/>
    <xf numFmtId="0" fontId="8" fillId="5" borderId="0" xfId="0" applyFont="1" applyFill="1"/>
    <xf numFmtId="0" fontId="0" fillId="5" borderId="0" xfId="0" applyFill="1"/>
    <xf numFmtId="167" fontId="8" fillId="5" borderId="0" xfId="0" applyNumberFormat="1" applyFont="1" applyFill="1"/>
    <xf numFmtId="0" fontId="2" fillId="4" borderId="0" xfId="0" applyFont="1" applyFill="1"/>
    <xf numFmtId="166" fontId="7" fillId="0" borderId="1" xfId="0" applyNumberFormat="1" applyFont="1" applyBorder="1"/>
    <xf numFmtId="168" fontId="2" fillId="0" borderId="0" xfId="0" applyNumberFormat="1" applyFont="1"/>
    <xf numFmtId="167" fontId="13" fillId="0" borderId="0" xfId="0" applyNumberFormat="1" applyFont="1"/>
    <xf numFmtId="1" fontId="5" fillId="0" borderId="1" xfId="0" applyNumberFormat="1" applyFont="1" applyBorder="1"/>
    <xf numFmtId="178" fontId="4" fillId="0" borderId="1" xfId="0" applyNumberFormat="1" applyFont="1" applyBorder="1"/>
    <xf numFmtId="178" fontId="5" fillId="0" borderId="1" xfId="0" applyNumberFormat="1" applyFont="1" applyBorder="1"/>
    <xf numFmtId="167" fontId="5" fillId="3" borderId="1" xfId="0" applyNumberFormat="1" applyFont="1" applyFill="1" applyBorder="1"/>
    <xf numFmtId="167" fontId="4" fillId="0" borderId="1" xfId="0" applyNumberFormat="1" applyFont="1" applyBorder="1"/>
    <xf numFmtId="1" fontId="5" fillId="3" borderId="1" xfId="0" applyNumberFormat="1" applyFont="1" applyFill="1" applyBorder="1"/>
    <xf numFmtId="166" fontId="6" fillId="0" borderId="1" xfId="0" applyNumberFormat="1" applyFont="1" applyBorder="1"/>
    <xf numFmtId="9" fontId="4" fillId="0" borderId="1" xfId="0" applyNumberFormat="1" applyFont="1" applyBorder="1"/>
    <xf numFmtId="0" fontId="7" fillId="5" borderId="0" xfId="0" applyFont="1" applyFill="1"/>
    <xf numFmtId="167" fontId="7" fillId="5" borderId="1" xfId="0" applyNumberFormat="1" applyFont="1" applyFill="1" applyBorder="1"/>
    <xf numFmtId="168" fontId="4" fillId="0" borderId="1" xfId="0" applyNumberFormat="1" applyFont="1" applyBorder="1"/>
    <xf numFmtId="168" fontId="6" fillId="0" borderId="1" xfId="0" applyNumberFormat="1" applyFont="1" applyBorder="1"/>
    <xf numFmtId="2" fontId="6" fillId="0" borderId="1" xfId="0" applyNumberFormat="1" applyFont="1" applyBorder="1"/>
    <xf numFmtId="165" fontId="6" fillId="0" borderId="1" xfId="0" applyNumberFormat="1" applyFont="1" applyBorder="1"/>
    <xf numFmtId="167" fontId="7" fillId="0" borderId="0" xfId="0" applyNumberFormat="1" applyFont="1"/>
    <xf numFmtId="179" fontId="4" fillId="0" borderId="0" xfId="0" applyNumberFormat="1" applyFont="1"/>
    <xf numFmtId="164" fontId="7" fillId="5" borderId="1" xfId="0" applyNumberFormat="1" applyFont="1" applyFill="1" applyBorder="1"/>
    <xf numFmtId="167" fontId="7" fillId="5" borderId="0" xfId="0" applyNumberFormat="1" applyFont="1" applyFill="1"/>
    <xf numFmtId="174" fontId="4" fillId="0" borderId="1" xfId="0" applyNumberFormat="1" applyFont="1" applyBorder="1"/>
    <xf numFmtId="3" fontId="6" fillId="0" borderId="1" xfId="0" applyNumberFormat="1" applyFont="1" applyBorder="1"/>
    <xf numFmtId="180" fontId="5" fillId="3" borderId="1" xfId="0" applyNumberFormat="1" applyFont="1" applyFill="1" applyBorder="1"/>
    <xf numFmtId="3" fontId="5" fillId="0" borderId="1" xfId="0" applyNumberFormat="1" applyFont="1" applyBorder="1"/>
    <xf numFmtId="181" fontId="5" fillId="3" borderId="1" xfId="0" applyNumberFormat="1" applyFont="1" applyFill="1" applyBorder="1"/>
    <xf numFmtId="166" fontId="5" fillId="0" borderId="1" xfId="0" applyNumberFormat="1" applyFont="1" applyBorder="1"/>
    <xf numFmtId="4" fontId="6" fillId="0" borderId="0" xfId="0" applyNumberFormat="1" applyFont="1"/>
    <xf numFmtId="2" fontId="13" fillId="0" borderId="0" xfId="0" applyNumberFormat="1" applyFont="1"/>
    <xf numFmtId="0" fontId="7" fillId="0" borderId="0" xfId="0" applyFont="1" applyAlignment="1">
      <alignment vertical="top" wrapText="1"/>
    </xf>
    <xf numFmtId="0" fontId="4" fillId="0" borderId="0" xfId="0" applyFont="1" applyAlignment="1">
      <alignment vertical="top" wrapText="1"/>
    </xf>
    <xf numFmtId="0" fontId="2" fillId="0" borderId="0" xfId="0" applyFont="1" applyAlignment="1">
      <alignment vertical="top" wrapText="1"/>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7"/>
  <sheetViews>
    <sheetView showGridLines="0" tabSelected="1" workbookViewId="0">
      <pane ySplit="4" topLeftCell="A5" activePane="bottomLeft" state="frozen"/>
      <selection pane="bottomLeft"/>
    </sheetView>
  </sheetViews>
  <sheetFormatPr defaultRowHeight="14.4" x14ac:dyDescent="0.3"/>
  <cols>
    <col min="1" max="1" width="44" customWidth="1"/>
    <col min="2" max="4" width="15" customWidth="1"/>
    <col min="5" max="5" width="13" customWidth="1"/>
    <col min="6" max="6" width="14" customWidth="1"/>
    <col min="7" max="7" width="70" customWidth="1"/>
  </cols>
  <sheetData>
    <row r="1" spans="1:7" ht="21" x14ac:dyDescent="0.4">
      <c r="A1" s="1" t="s">
        <v>0</v>
      </c>
    </row>
    <row r="2" spans="1:7" x14ac:dyDescent="0.3">
      <c r="A2" s="2" t="s">
        <v>1</v>
      </c>
    </row>
    <row r="3" spans="1:7" x14ac:dyDescent="0.3">
      <c r="A3" s="3" t="s">
        <v>2</v>
      </c>
      <c r="B3" s="3" t="s">
        <v>3</v>
      </c>
      <c r="C3" s="3" t="s">
        <v>4</v>
      </c>
      <c r="D3" s="3" t="s">
        <v>5</v>
      </c>
      <c r="E3" s="3" t="s">
        <v>6</v>
      </c>
      <c r="F3" s="3" t="s">
        <v>7</v>
      </c>
      <c r="G3" s="3" t="s">
        <v>8</v>
      </c>
    </row>
    <row r="5" spans="1:7" x14ac:dyDescent="0.3">
      <c r="A5" s="4" t="s">
        <v>9</v>
      </c>
      <c r="B5" s="5"/>
      <c r="C5" s="5"/>
      <c r="D5" s="5"/>
      <c r="E5" s="5"/>
      <c r="F5" s="5"/>
      <c r="G5" s="5"/>
    </row>
    <row r="6" spans="1:7" x14ac:dyDescent="0.3">
      <c r="A6" s="6" t="s">
        <v>10</v>
      </c>
      <c r="B6" s="7" t="s">
        <v>11</v>
      </c>
      <c r="C6" s="2" t="s">
        <v>12</v>
      </c>
    </row>
    <row r="7" spans="1:7" x14ac:dyDescent="0.3">
      <c r="A7" s="6" t="s">
        <v>13</v>
      </c>
      <c r="B7" s="7" t="s">
        <v>14</v>
      </c>
      <c r="C7" s="2" t="s">
        <v>15</v>
      </c>
    </row>
    <row r="8" spans="1:7" x14ac:dyDescent="0.3">
      <c r="A8" s="6" t="s">
        <v>16</v>
      </c>
      <c r="B8" s="8">
        <v>0.1</v>
      </c>
      <c r="C8" s="2" t="s">
        <v>17</v>
      </c>
    </row>
    <row r="9" spans="1:7" x14ac:dyDescent="0.3">
      <c r="A9" s="6" t="s">
        <v>18</v>
      </c>
      <c r="B9" s="9">
        <v>1066.333333333333</v>
      </c>
      <c r="C9" s="2" t="s">
        <v>19</v>
      </c>
    </row>
    <row r="10" spans="1:7" x14ac:dyDescent="0.3">
      <c r="A10" s="2" t="s">
        <v>20</v>
      </c>
      <c r="C10" s="10" t="str">
        <f>"Heating option "&amp;'Everything else'!$B$82&amp;", ERV "&amp;'Everything else'!$B$83</f>
        <v>Heating option A, ERV yes</v>
      </c>
    </row>
    <row r="12" spans="1:7" x14ac:dyDescent="0.3">
      <c r="A12" s="4" t="s">
        <v>21</v>
      </c>
      <c r="B12" s="5"/>
      <c r="C12" s="5"/>
      <c r="D12" s="5"/>
      <c r="E12" s="5"/>
      <c r="F12" s="5"/>
      <c r="G12" s="5"/>
    </row>
    <row r="13" spans="1:7" x14ac:dyDescent="0.3">
      <c r="A13" s="11" t="s">
        <v>22</v>
      </c>
      <c r="B13" s="11" t="s">
        <v>23</v>
      </c>
      <c r="C13" s="11" t="s">
        <v>24</v>
      </c>
      <c r="D13" s="11" t="s">
        <v>25</v>
      </c>
      <c r="E13" s="11" t="s">
        <v>26</v>
      </c>
      <c r="F13" s="11" t="s">
        <v>27</v>
      </c>
      <c r="G13" s="11" t="s">
        <v>28</v>
      </c>
    </row>
    <row r="14" spans="1:7" x14ac:dyDescent="0.3">
      <c r="A14" s="3" t="s">
        <v>29</v>
      </c>
      <c r="B14" s="12">
        <f>Manufacturing!$B$38</f>
        <v>33925.626737654326</v>
      </c>
      <c r="C14" s="12">
        <f>0</f>
        <v>0</v>
      </c>
      <c r="D14" s="13">
        <f t="shared" ref="D14:D30" si="0">B14+C14</f>
        <v>33925.626737654326</v>
      </c>
      <c r="E14" s="14">
        <f>D14/Summary!$B$9</f>
        <v>31.815217321964052</v>
      </c>
      <c r="F14" s="15">
        <f t="shared" ref="F14:F38" si="1">IF($D$34=0,0,D14/$D$34)</f>
        <v>0.11393207877721974</v>
      </c>
      <c r="G14" s="2" t="s">
        <v>30</v>
      </c>
    </row>
    <row r="15" spans="1:7" x14ac:dyDescent="0.3">
      <c r="A15" s="3" t="s">
        <v>31</v>
      </c>
      <c r="B15" s="12">
        <f>Walls!$H$355</f>
        <v>5263.0108148148156</v>
      </c>
      <c r="C15" s="12">
        <f>Walls!$I$355</f>
        <v>6319.8009259259261</v>
      </c>
      <c r="D15" s="13">
        <f t="shared" si="0"/>
        <v>11582.811740740741</v>
      </c>
      <c r="E15" s="14">
        <f>D15/Summary!$B$9</f>
        <v>10.862280469591195</v>
      </c>
      <c r="F15" s="15">
        <f t="shared" si="1"/>
        <v>3.8898435979167492E-2</v>
      </c>
      <c r="G15" s="2" t="s">
        <v>32</v>
      </c>
    </row>
    <row r="16" spans="1:7" x14ac:dyDescent="0.3">
      <c r="A16" s="3" t="s">
        <v>33</v>
      </c>
      <c r="B16" s="12">
        <f>Manufacturing!$C$38</f>
        <v>34127.950541451035</v>
      </c>
      <c r="C16" s="12">
        <f>0</f>
        <v>0</v>
      </c>
      <c r="D16" s="13">
        <f t="shared" si="0"/>
        <v>34127.950541451035</v>
      </c>
      <c r="E16" s="14">
        <f>D16/Summary!$B$9</f>
        <v>32.004955181104449</v>
      </c>
      <c r="F16" s="15">
        <f t="shared" si="1"/>
        <v>0.11461154069935096</v>
      </c>
      <c r="G16" s="2" t="s">
        <v>34</v>
      </c>
    </row>
    <row r="17" spans="1:7" x14ac:dyDescent="0.3">
      <c r="A17" s="3" t="s">
        <v>35</v>
      </c>
      <c r="B17" s="12">
        <f>Roof!$H$129</f>
        <v>24451.242449212012</v>
      </c>
      <c r="C17" s="12">
        <f>Roof!$I$129</f>
        <v>3427.8716379352381</v>
      </c>
      <c r="D17" s="13">
        <f t="shared" si="0"/>
        <v>27879.114087147249</v>
      </c>
      <c r="E17" s="14">
        <f>D17/Summary!$B$9</f>
        <v>26.144839719112777</v>
      </c>
      <c r="F17" s="15">
        <f t="shared" si="1"/>
        <v>9.3626138346046467E-2</v>
      </c>
      <c r="G17" s="2" t="s">
        <v>36</v>
      </c>
    </row>
    <row r="18" spans="1:7" x14ac:dyDescent="0.3">
      <c r="A18" s="3" t="str">
        <f>IF(Summary!$B$7="A","Floor: Option A (slab on grade)",IF(Summary!$B$7="B","Floor: Option B (site-built)","Floor panels, manufactured — sell price"))</f>
        <v>Floor: Option A (slab on grade)</v>
      </c>
      <c r="B18" s="12">
        <f>IF(Summary!$B$7="A",'Floor options'!$H$131,IF(Summary!$B$7="B",'Floor options'!$H$132,'Floor options'!$B$126))</f>
        <v>5255.67012345679</v>
      </c>
      <c r="C18" s="12">
        <f>IF(Summary!$B$7="A",'Floor options'!$I$131,IF(Summary!$B$7="B",'Floor options'!$I$132,0))</f>
        <v>4574.2083333333339</v>
      </c>
      <c r="D18" s="13">
        <f t="shared" si="0"/>
        <v>9829.8784567901239</v>
      </c>
      <c r="E18" s="14">
        <f>D18/Summary!$B$9</f>
        <v>9.2183918006784555</v>
      </c>
      <c r="F18" s="15">
        <f t="shared" si="1"/>
        <v>3.3011578396766328E-2</v>
      </c>
      <c r="G18" s="2" t="s">
        <v>37</v>
      </c>
    </row>
    <row r="19" spans="1:7" x14ac:dyDescent="0.3">
      <c r="A19" s="3" t="str">
        <f>IF(Summary!$B$7="B-plant","Floor, site work (footings, crane, set)","Floor, site work (B-plant only; inside the row above for A / B)")</f>
        <v>Floor, site work (B-plant only; inside the row above for A / B)</v>
      </c>
      <c r="B19" s="12">
        <f>IF(Summary!$B$7="B-plant",'Floor options'!$H$114,0)</f>
        <v>0</v>
      </c>
      <c r="C19" s="12">
        <f>IF(Summary!$B$7="B-plant",'Floor options'!$I$114,0)</f>
        <v>0</v>
      </c>
      <c r="D19" s="13">
        <f t="shared" si="0"/>
        <v>0</v>
      </c>
      <c r="E19" s="14">
        <f>D19/Summary!$B$9</f>
        <v>0</v>
      </c>
      <c r="F19" s="15">
        <f t="shared" si="1"/>
        <v>0</v>
      </c>
      <c r="G19" s="2" t="s">
        <v>38</v>
      </c>
    </row>
    <row r="20" spans="1:7" x14ac:dyDescent="0.3">
      <c r="A20" s="3" t="s">
        <v>39</v>
      </c>
      <c r="B20" s="12">
        <f>'Everything else'!$E$57</f>
        <v>7580</v>
      </c>
      <c r="C20" s="12">
        <f>'Everything else'!$G$57</f>
        <v>3115</v>
      </c>
      <c r="D20" s="13">
        <f t="shared" si="0"/>
        <v>10695</v>
      </c>
      <c r="E20" s="14">
        <f>D20/Summary!$B$9</f>
        <v>10.02969678024383</v>
      </c>
      <c r="F20" s="15">
        <f t="shared" si="1"/>
        <v>3.5916907060995817E-2</v>
      </c>
      <c r="G20" s="2" t="s">
        <v>40</v>
      </c>
    </row>
    <row r="21" spans="1:7" x14ac:dyDescent="0.3">
      <c r="A21" s="3" t="s">
        <v>41</v>
      </c>
      <c r="B21" s="12">
        <f>'Everything else'!$E$69</f>
        <v>5550</v>
      </c>
      <c r="C21" s="12">
        <f>'Everything else'!$G$69</f>
        <v>2838.5</v>
      </c>
      <c r="D21" s="13">
        <f t="shared" si="0"/>
        <v>8388.5</v>
      </c>
      <c r="E21" s="14">
        <f>D21/Summary!$B$9</f>
        <v>7.8666770865895614</v>
      </c>
      <c r="F21" s="15">
        <f t="shared" si="1"/>
        <v>2.8171012144101299E-2</v>
      </c>
      <c r="G21" s="2" t="s">
        <v>42</v>
      </c>
    </row>
    <row r="22" spans="1:7" x14ac:dyDescent="0.3">
      <c r="A22" s="3" t="s">
        <v>43</v>
      </c>
      <c r="B22" s="12">
        <f>'Everything else'!$E$79</f>
        <v>2160</v>
      </c>
      <c r="C22" s="12">
        <f>'Everything else'!$G$79</f>
        <v>840</v>
      </c>
      <c r="D22" s="13">
        <f t="shared" si="0"/>
        <v>3000</v>
      </c>
      <c r="E22" s="14">
        <f>D22/Summary!$B$9</f>
        <v>2.8133791809940614</v>
      </c>
      <c r="F22" s="15">
        <f t="shared" si="1"/>
        <v>1.0074868740812291E-2</v>
      </c>
      <c r="G22" s="2" t="s">
        <v>44</v>
      </c>
    </row>
    <row r="23" spans="1:7" x14ac:dyDescent="0.3">
      <c r="A23" s="3" t="s">
        <v>45</v>
      </c>
      <c r="B23" s="12">
        <f>'Everything else'!$E$89</f>
        <v>6601.6260162601611</v>
      </c>
      <c r="C23" s="12">
        <f>'Everything else'!$G$89</f>
        <v>3000.687929956222</v>
      </c>
      <c r="D23" s="13">
        <f t="shared" si="0"/>
        <v>9602.3139462163836</v>
      </c>
      <c r="E23" s="14">
        <f>D23/Summary!$B$9</f>
        <v>9.0049833818847009</v>
      </c>
      <c r="F23" s="15">
        <f t="shared" si="1"/>
        <v>3.2247350872067114E-2</v>
      </c>
      <c r="G23" s="2" t="s">
        <v>46</v>
      </c>
    </row>
    <row r="24" spans="1:7" x14ac:dyDescent="0.3">
      <c r="A24" s="3" t="s">
        <v>47</v>
      </c>
      <c r="B24" s="12">
        <f>'Everything else'!$E$102</f>
        <v>15900</v>
      </c>
      <c r="C24" s="12">
        <f>'Everything else'!$G$102</f>
        <v>2891</v>
      </c>
      <c r="D24" s="13">
        <f t="shared" si="0"/>
        <v>18791</v>
      </c>
      <c r="E24" s="14">
        <f>D24/Summary!$B$9</f>
        <v>17.62206939668647</v>
      </c>
      <c r="F24" s="15">
        <f t="shared" si="1"/>
        <v>6.3105619502867916E-2</v>
      </c>
      <c r="G24" s="2" t="s">
        <v>48</v>
      </c>
    </row>
    <row r="25" spans="1:7" x14ac:dyDescent="0.3">
      <c r="A25" s="3" t="s">
        <v>49</v>
      </c>
      <c r="B25" s="12">
        <f>'Everything else'!$E$110</f>
        <v>2310</v>
      </c>
      <c r="C25" s="12">
        <f>'Everything else'!$G$110</f>
        <v>4830</v>
      </c>
      <c r="D25" s="13">
        <f t="shared" si="0"/>
        <v>7140</v>
      </c>
      <c r="E25" s="14">
        <f>D25/Summary!$B$9</f>
        <v>6.6958424507658663</v>
      </c>
      <c r="F25" s="15">
        <f t="shared" si="1"/>
        <v>2.397818760313325E-2</v>
      </c>
      <c r="G25" s="2" t="s">
        <v>50</v>
      </c>
    </row>
    <row r="26" spans="1:7" x14ac:dyDescent="0.3">
      <c r="A26" s="3" t="s">
        <v>51</v>
      </c>
      <c r="B26" s="12">
        <f>'Everything else'!$E$119</f>
        <v>6437.9218934906066</v>
      </c>
      <c r="C26" s="12">
        <f>'Everything else'!$G$119</f>
        <v>4397.5427386867104</v>
      </c>
      <c r="D26" s="13">
        <f t="shared" si="0"/>
        <v>10835.464632177318</v>
      </c>
      <c r="E26" s="14">
        <f>D26/Summary!$B$9</f>
        <v>10.161423537521713</v>
      </c>
      <c r="F26" s="15">
        <f t="shared" si="1"/>
        <v>3.6388627971633468E-2</v>
      </c>
      <c r="G26" s="2" t="s">
        <v>52</v>
      </c>
    </row>
    <row r="27" spans="1:7" x14ac:dyDescent="0.3">
      <c r="A27" s="3" t="s">
        <v>53</v>
      </c>
      <c r="B27" s="12">
        <f>'Everything else'!$E$133</f>
        <v>13100</v>
      </c>
      <c r="C27" s="12">
        <f>'Everything else'!$G$133</f>
        <v>2695</v>
      </c>
      <c r="D27" s="13">
        <f t="shared" si="0"/>
        <v>15795</v>
      </c>
      <c r="E27" s="14">
        <f>D27/Summary!$B$9</f>
        <v>14.812441387933733</v>
      </c>
      <c r="F27" s="15">
        <f t="shared" si="1"/>
        <v>5.3044183920376707E-2</v>
      </c>
      <c r="G27" s="2" t="s">
        <v>54</v>
      </c>
    </row>
    <row r="28" spans="1:7" x14ac:dyDescent="0.3">
      <c r="A28" s="3" t="s">
        <v>55</v>
      </c>
      <c r="B28" s="12">
        <f>'Everything else'!$E$141</f>
        <v>3955.4666666666667</v>
      </c>
      <c r="C28" s="12">
        <f>'Everything else'!$G$141</f>
        <v>4645.7833333333328</v>
      </c>
      <c r="D28" s="13">
        <f t="shared" si="0"/>
        <v>8601.25</v>
      </c>
      <c r="E28" s="14">
        <f>D28/Summary!$B$9</f>
        <v>8.0661925601750575</v>
      </c>
      <c r="F28" s="15">
        <f t="shared" si="1"/>
        <v>2.8885488252303904E-2</v>
      </c>
      <c r="G28" s="2" t="s">
        <v>56</v>
      </c>
    </row>
    <row r="29" spans="1:7" x14ac:dyDescent="0.3">
      <c r="A29" s="3" t="s">
        <v>57</v>
      </c>
      <c r="B29" s="12">
        <f>'Everything else'!$E$155</f>
        <v>9078.259167289576</v>
      </c>
      <c r="C29" s="12">
        <f>'Everything else'!$G$155</f>
        <v>7905.007633901203</v>
      </c>
      <c r="D29" s="13">
        <f t="shared" si="0"/>
        <v>16983.266801190781</v>
      </c>
      <c r="E29" s="14">
        <f>D29/Summary!$B$9</f>
        <v>15.926789747912585</v>
      </c>
      <c r="F29" s="15">
        <f t="shared" si="1"/>
        <v>5.7034727937397375E-2</v>
      </c>
      <c r="G29" s="2" t="s">
        <v>58</v>
      </c>
    </row>
    <row r="30" spans="1:7" x14ac:dyDescent="0.3">
      <c r="A30" s="3" t="s">
        <v>59</v>
      </c>
      <c r="B30" s="12">
        <f>'Everything else'!$E$163</f>
        <v>10200</v>
      </c>
      <c r="C30" s="12">
        <f>'Everything else'!$G$163</f>
        <v>4201.3133208255149</v>
      </c>
      <c r="D30" s="13">
        <f t="shared" si="0"/>
        <v>14401.313320825515</v>
      </c>
      <c r="E30" s="14">
        <f>D30/Summary!$B$9</f>
        <v>13.505451691927652</v>
      </c>
      <c r="F30" s="15">
        <f t="shared" si="1"/>
        <v>4.8363780467542875E-2</v>
      </c>
      <c r="G30" s="2" t="s">
        <v>60</v>
      </c>
    </row>
    <row r="31" spans="1:7" x14ac:dyDescent="0.3">
      <c r="A31" s="16" t="s">
        <v>61</v>
      </c>
      <c r="B31" s="17">
        <f>SUM(B14:B30)</f>
        <v>185896.77441029597</v>
      </c>
      <c r="C31" s="17">
        <f>SUM(C14:C30)</f>
        <v>55681.715853897476</v>
      </c>
      <c r="D31" s="17">
        <f>SUM(D14:D30)</f>
        <v>241578.4902641935</v>
      </c>
      <c r="E31" s="18">
        <f>D31/Summary!$B$9</f>
        <v>226.5506316950862</v>
      </c>
      <c r="F31" s="19">
        <f t="shared" si="1"/>
        <v>0.81129052667178314</v>
      </c>
      <c r="G31" s="20"/>
    </row>
    <row r="32" spans="1:7" x14ac:dyDescent="0.3">
      <c r="A32" s="21" t="s">
        <v>62</v>
      </c>
      <c r="B32" s="13">
        <f>(B31-B14-B16-IF(Summary!$B$7="B-plant",B18,0))*Summary!$B$8</f>
        <v>11784.319713119061</v>
      </c>
      <c r="C32" s="13">
        <f>(C31-C14-C16-IF(Summary!$B$7="B-plant",C18,0))*Summary!$B$8</f>
        <v>5568.1715853897476</v>
      </c>
      <c r="D32" s="13">
        <f>B32+C32</f>
        <v>17352.491298508809</v>
      </c>
      <c r="E32" s="22">
        <f>D32/Summary!$B$9</f>
        <v>16.273045919201763</v>
      </c>
      <c r="F32" s="23">
        <f t="shared" si="1"/>
        <v>5.8274690719521217E-2</v>
      </c>
      <c r="G32" s="2" t="s">
        <v>63</v>
      </c>
    </row>
    <row r="33" spans="1:7" x14ac:dyDescent="0.3">
      <c r="A33" s="21" t="s">
        <v>64</v>
      </c>
      <c r="B33" s="8">
        <v>0.15</v>
      </c>
      <c r="D33" s="13">
        <f>(D31+D32)*$B$33</f>
        <v>38839.647234405347</v>
      </c>
      <c r="E33" s="22">
        <f>D33/Summary!$B$9</f>
        <v>36.423551642143195</v>
      </c>
      <c r="F33" s="23">
        <f t="shared" si="1"/>
        <v>0.13043478260869565</v>
      </c>
      <c r="G33" s="2" t="s">
        <v>65</v>
      </c>
    </row>
    <row r="34" spans="1:7" ht="15.6" x14ac:dyDescent="0.3">
      <c r="A34" s="24" t="s">
        <v>66</v>
      </c>
      <c r="B34" s="25">
        <f>B31+B32</f>
        <v>197681.09412341504</v>
      </c>
      <c r="C34" s="25">
        <f>C31+C32</f>
        <v>61249.887439287224</v>
      </c>
      <c r="D34" s="26">
        <f>D31+D32+D33</f>
        <v>297770.62879710767</v>
      </c>
      <c r="E34" s="27">
        <f>D34/Summary!$B$9</f>
        <v>279.24722925643113</v>
      </c>
      <c r="F34" s="28">
        <f t="shared" si="1"/>
        <v>1</v>
      </c>
      <c r="G34" s="29" t="s">
        <v>67</v>
      </c>
    </row>
    <row r="35" spans="1:7" x14ac:dyDescent="0.3">
      <c r="A35" s="2" t="s">
        <v>68</v>
      </c>
      <c r="D35" s="12">
        <f>Manufacturing!$E$37</f>
        <v>11342.262879850894</v>
      </c>
      <c r="E35" s="30">
        <f>D35/Summary!$B$9</f>
        <v>10.636695417178084</v>
      </c>
      <c r="F35" s="15">
        <f t="shared" si="1"/>
        <v>3.8090603246095117E-2</v>
      </c>
      <c r="G35" s="2" t="s">
        <v>69</v>
      </c>
    </row>
    <row r="36" spans="1:7" x14ac:dyDescent="0.3">
      <c r="A36" s="2" t="s">
        <v>70</v>
      </c>
      <c r="D36" s="12">
        <f>Manufacturing!$E$34</f>
        <v>12337.560987460289</v>
      </c>
      <c r="E36" s="30">
        <f>D36/Summary!$B$9</f>
        <v>11.570079075455103</v>
      </c>
      <c r="F36" s="15">
        <f t="shared" si="1"/>
        <v>4.1433102510142955E-2</v>
      </c>
      <c r="G36" s="2" t="s">
        <v>71</v>
      </c>
    </row>
    <row r="37" spans="1:7" x14ac:dyDescent="0.3">
      <c r="A37" s="2" t="s">
        <v>72</v>
      </c>
      <c r="D37" s="12">
        <f>Manufacturing!$D$37</f>
        <v>0</v>
      </c>
      <c r="E37" s="30">
        <f>D37/Summary!$B$9</f>
        <v>0</v>
      </c>
      <c r="F37" s="15">
        <f t="shared" si="1"/>
        <v>0</v>
      </c>
      <c r="G37" s="2" t="s">
        <v>73</v>
      </c>
    </row>
    <row r="38" spans="1:7" x14ac:dyDescent="0.3">
      <c r="A38" s="2" t="s">
        <v>74</v>
      </c>
      <c r="D38" s="12">
        <f>Manufacturing!$D$34</f>
        <v>0</v>
      </c>
      <c r="E38" s="30">
        <f>D38/Summary!$B$9</f>
        <v>0</v>
      </c>
      <c r="F38" s="15">
        <f t="shared" si="1"/>
        <v>0</v>
      </c>
      <c r="G38" s="2" t="s">
        <v>75</v>
      </c>
    </row>
    <row r="39" spans="1:7" x14ac:dyDescent="0.3">
      <c r="A39" s="21" t="s">
        <v>76</v>
      </c>
      <c r="B39" s="31">
        <f>D34/Summary!$B$9</f>
        <v>279.24722925643113</v>
      </c>
      <c r="G39" s="2" t="s">
        <v>77</v>
      </c>
    </row>
    <row r="40" spans="1:7" x14ac:dyDescent="0.3">
      <c r="A40" s="21" t="s">
        <v>78</v>
      </c>
      <c r="B40" s="14">
        <f>D34/'Floor options'!$B$9</f>
        <v>248.83339453797296</v>
      </c>
      <c r="G40" s="2" t="s">
        <v>79</v>
      </c>
    </row>
    <row r="41" spans="1:7" x14ac:dyDescent="0.3">
      <c r="A41" s="21" t="s">
        <v>80</v>
      </c>
      <c r="B41" s="14">
        <f>D34/Walls!$B$118</f>
        <v>203.95248547747101</v>
      </c>
      <c r="G41" s="2" t="s">
        <v>81</v>
      </c>
    </row>
    <row r="42" spans="1:7" x14ac:dyDescent="0.3">
      <c r="A42" s="21" t="s">
        <v>82</v>
      </c>
      <c r="B42" s="32">
        <f>Walls!$J$360</f>
        <v>31.963506611280231</v>
      </c>
      <c r="C42" s="33">
        <f>Walls!$J$359</f>
        <v>1372.5505780137983</v>
      </c>
      <c r="G42" s="2" t="s">
        <v>83</v>
      </c>
    </row>
    <row r="43" spans="1:7" x14ac:dyDescent="0.3">
      <c r="A43" s="21" t="s">
        <v>84</v>
      </c>
      <c r="B43" s="32">
        <f>Roof!$J$133</f>
        <v>46.706082116139541</v>
      </c>
      <c r="G43" s="2" t="s">
        <v>85</v>
      </c>
    </row>
    <row r="44" spans="1:7" x14ac:dyDescent="0.3">
      <c r="A44" s="21" t="s">
        <v>86</v>
      </c>
      <c r="B44" s="34">
        <f>Manufacturing!$B$39</f>
        <v>997.8125511074802</v>
      </c>
      <c r="C44" s="35">
        <f>Manufacturing!$C$39</f>
        <v>24.600408209529171</v>
      </c>
      <c r="G44" s="2" t="s">
        <v>87</v>
      </c>
    </row>
    <row r="46" spans="1:7" x14ac:dyDescent="0.3">
      <c r="A46" s="4" t="s">
        <v>88</v>
      </c>
      <c r="B46" s="5"/>
      <c r="C46" s="5"/>
      <c r="D46" s="5"/>
      <c r="E46" s="5"/>
      <c r="F46" s="5"/>
      <c r="G46" s="5"/>
    </row>
    <row r="47" spans="1:7" x14ac:dyDescent="0.3">
      <c r="A47" s="21" t="s">
        <v>89</v>
      </c>
      <c r="B47" s="36">
        <f>Walls!$B$103</f>
        <v>34</v>
      </c>
      <c r="G47" s="2" t="s">
        <v>90</v>
      </c>
    </row>
    <row r="48" spans="1:7" x14ac:dyDescent="0.3">
      <c r="A48" s="21" t="s">
        <v>91</v>
      </c>
      <c r="B48" s="37">
        <f>Walls!$B$20</f>
        <v>150</v>
      </c>
      <c r="C48" s="38">
        <f>Walls!$B$20/12</f>
        <v>12.5</v>
      </c>
      <c r="G48" s="2" t="s">
        <v>92</v>
      </c>
    </row>
    <row r="49" spans="1:7" x14ac:dyDescent="0.3">
      <c r="A49" s="21" t="s">
        <v>93</v>
      </c>
      <c r="B49" s="39">
        <f>Walls!$B$44</f>
        <v>10</v>
      </c>
      <c r="C49" s="40">
        <f>Roof!$B$96</f>
        <v>66.666666666666671</v>
      </c>
      <c r="G49" s="2" t="s">
        <v>94</v>
      </c>
    </row>
    <row r="50" spans="1:7" x14ac:dyDescent="0.3">
      <c r="A50" s="21" t="s">
        <v>95</v>
      </c>
      <c r="B50" s="41">
        <f>Walls!$B$113/12</f>
        <v>40</v>
      </c>
      <c r="C50" s="42">
        <f>Walls!$B$114/12</f>
        <v>29.916666666666668</v>
      </c>
      <c r="G50" s="2" t="s">
        <v>96</v>
      </c>
    </row>
    <row r="51" spans="1:7" x14ac:dyDescent="0.3">
      <c r="A51" s="21" t="s">
        <v>97</v>
      </c>
      <c r="B51" s="43">
        <f>Walls!$B$118</f>
        <v>1460</v>
      </c>
      <c r="C51" s="44">
        <f>Walls!$B$120</f>
        <v>1180.3333333333335</v>
      </c>
      <c r="G51" s="2" t="s">
        <v>98</v>
      </c>
    </row>
    <row r="52" spans="1:7" x14ac:dyDescent="0.3">
      <c r="A52" s="21" t="s">
        <v>99</v>
      </c>
      <c r="B52" s="45">
        <f>Walls!$B$282</f>
        <v>41.894547325102891</v>
      </c>
      <c r="C52" s="46">
        <f>Walls!$B$283</f>
        <v>46.084002057613183</v>
      </c>
      <c r="G52" s="2" t="s">
        <v>100</v>
      </c>
    </row>
    <row r="53" spans="1:7" x14ac:dyDescent="0.3">
      <c r="A53" s="21" t="s">
        <v>101</v>
      </c>
      <c r="B53" s="45">
        <f>Roof!$B$90</f>
        <v>57.80383508743175</v>
      </c>
      <c r="C53" s="47">
        <f>Roof!$B$92+Roof!$B$93</f>
        <v>2.4776663237311389</v>
      </c>
      <c r="G53" s="2" t="s">
        <v>102</v>
      </c>
    </row>
    <row r="54" spans="1:7" x14ac:dyDescent="0.3">
      <c r="A54" s="21" t="s">
        <v>103</v>
      </c>
      <c r="B54" s="43">
        <f>Roof!$B$77</f>
        <v>1387.2920420983621</v>
      </c>
      <c r="C54" s="48">
        <f>Roof!$B$67</f>
        <v>1.0034662148993578</v>
      </c>
      <c r="D54" s="49">
        <f>Roof!$B$14</f>
        <v>3</v>
      </c>
      <c r="G54" s="2" t="s">
        <v>104</v>
      </c>
    </row>
    <row r="55" spans="1:7" x14ac:dyDescent="0.3">
      <c r="A55" s="21" t="s">
        <v>105</v>
      </c>
      <c r="B55" s="50">
        <f>Roof!$B$72</f>
        <v>0</v>
      </c>
      <c r="C55" s="51">
        <f>Roof!$B$94</f>
        <v>0</v>
      </c>
      <c r="G55" s="2" t="s">
        <v>106</v>
      </c>
    </row>
    <row r="56" spans="1:7" x14ac:dyDescent="0.3">
      <c r="A56" s="21" t="s">
        <v>107</v>
      </c>
      <c r="B56" s="52">
        <f>(Walls!$B$283+(Roof!$B$90+Roof!$B$92+Roof!$B$93)*(1+Walls!$B$81))*Walls!$B$77</f>
        <v>67436.192165935427</v>
      </c>
      <c r="G56" s="2" t="s">
        <v>108</v>
      </c>
    </row>
    <row r="57" spans="1:7" x14ac:dyDescent="0.3">
      <c r="A57" s="21" t="s">
        <v>109</v>
      </c>
      <c r="B57" s="53">
        <f>Walls!$B$262</f>
        <v>212</v>
      </c>
      <c r="C57" s="54">
        <f>Walls!$B$266</f>
        <v>1661</v>
      </c>
      <c r="G57" s="2" t="s">
        <v>110</v>
      </c>
    </row>
    <row r="58" spans="1:7" x14ac:dyDescent="0.3">
      <c r="A58" s="21" t="s">
        <v>111</v>
      </c>
      <c r="B58" s="55">
        <f>Roof!$B$83</f>
        <v>1189.107464655739</v>
      </c>
      <c r="G58" s="2" t="s">
        <v>112</v>
      </c>
    </row>
    <row r="59" spans="1:7" x14ac:dyDescent="0.3">
      <c r="A59" s="21" t="s">
        <v>113</v>
      </c>
      <c r="B59" s="52">
        <f>Roof!$B$91</f>
        <v>10616.6377110583</v>
      </c>
      <c r="C59" s="56">
        <f>Walls!$B$286</f>
        <v>879.16666666666674</v>
      </c>
      <c r="D59" s="57">
        <f>Roof!$B$95</f>
        <v>1</v>
      </c>
      <c r="G59" s="2" t="s">
        <v>114</v>
      </c>
    </row>
    <row r="60" spans="1:7" x14ac:dyDescent="0.3">
      <c r="A60" s="21" t="s">
        <v>115</v>
      </c>
      <c r="B60" s="58">
        <f>Walls!$B$289</f>
        <v>9</v>
      </c>
      <c r="G60" s="2" t="s">
        <v>116</v>
      </c>
    </row>
    <row r="61" spans="1:7" x14ac:dyDescent="0.3">
      <c r="A61" s="21" t="s">
        <v>117</v>
      </c>
      <c r="B61" s="12">
        <f>'Floor options'!$J$131</f>
        <v>9829.8784567901239</v>
      </c>
      <c r="C61" s="59">
        <f>'Floor options'!$J$132</f>
        <v>27546.014283264747</v>
      </c>
      <c r="D61" s="59">
        <f>'Floor options'!$J$133</f>
        <v>37763.943503429356</v>
      </c>
      <c r="G61" s="2" t="s">
        <v>118</v>
      </c>
    </row>
    <row r="63" spans="1:7" x14ac:dyDescent="0.3">
      <c r="A63" s="4" t="s">
        <v>119</v>
      </c>
      <c r="B63" s="5"/>
      <c r="C63" s="5"/>
      <c r="D63" s="5"/>
      <c r="E63" s="5"/>
      <c r="F63" s="5"/>
      <c r="G63" s="5"/>
    </row>
    <row r="64" spans="1:7" ht="54" customHeight="1" x14ac:dyDescent="0.3">
      <c r="A64" s="125" t="s">
        <v>120</v>
      </c>
      <c r="B64" s="126"/>
      <c r="C64" s="126"/>
      <c r="D64" s="126"/>
      <c r="E64" s="126"/>
      <c r="F64" s="126"/>
      <c r="G64" s="126"/>
    </row>
    <row r="65" spans="1:7" ht="54" customHeight="1" x14ac:dyDescent="0.3">
      <c r="A65" s="125" t="s">
        <v>121</v>
      </c>
      <c r="B65" s="126"/>
      <c r="C65" s="126"/>
      <c r="D65" s="126"/>
      <c r="E65" s="126"/>
      <c r="F65" s="126"/>
      <c r="G65" s="126"/>
    </row>
    <row r="66" spans="1:7" ht="54" customHeight="1" x14ac:dyDescent="0.3">
      <c r="A66" s="125" t="s">
        <v>122</v>
      </c>
      <c r="B66" s="126"/>
      <c r="C66" s="126"/>
      <c r="D66" s="126"/>
      <c r="E66" s="126"/>
      <c r="F66" s="126"/>
      <c r="G66" s="126"/>
    </row>
    <row r="67" spans="1:7" x14ac:dyDescent="0.3">
      <c r="A67" s="2" t="s">
        <v>123</v>
      </c>
    </row>
  </sheetData>
  <mergeCells count="3">
    <mergeCell ref="A66:G66"/>
    <mergeCell ref="A64:G64"/>
    <mergeCell ref="A65:G65"/>
  </mergeCells>
  <dataValidations count="2">
    <dataValidation type="list" sqref="B6" xr:uid="{00000000-0002-0000-0000-000000000000}">
      <formula1>"shed,flat,gable"</formula1>
    </dataValidation>
    <dataValidation type="list" sqref="B7" xr:uid="{00000000-0002-0000-0000-000001000000}">
      <formula1>"A,B,B-plant"</formula1>
    </dataValidation>
  </dataValidations>
  <hyperlinks>
    <hyperlink ref="A3" location="'Walls'!A1" display="Walls →" xr:uid="{00000000-0004-0000-0000-000000000000}"/>
    <hyperlink ref="B3" location="'Roof'!A1" display="Roof →" xr:uid="{00000000-0004-0000-0000-000001000000}"/>
    <hyperlink ref="C3" location="'Manufacturing'!A1" display="Manufacturing →" xr:uid="{00000000-0004-0000-0000-000002000000}"/>
    <hyperlink ref="D3" location="'Floor options'!A1" display="Floor options →" xr:uid="{00000000-0004-0000-0000-000003000000}"/>
    <hyperlink ref="E3" location="'Everything else'!A1" display="Everything else →" xr:uid="{00000000-0004-0000-0000-000004000000}"/>
    <hyperlink ref="F3" location="'Model takeoff'!A1" display="Model takeoff →" xr:uid="{00000000-0004-0000-0000-000005000000}"/>
    <hyperlink ref="G3" location="'Notes'!A1" display="Notes →" xr:uid="{00000000-0004-0000-0000-000006000000}"/>
    <hyperlink ref="A14" location="'Manufacturing'!A1" display="Wall panels, manufactured — sell price" xr:uid="{00000000-0004-0000-0000-000007000000}"/>
    <hyperlink ref="A15" location="'Walls'!A1" display="Walls, site work" xr:uid="{00000000-0004-0000-0000-000008000000}"/>
    <hyperlink ref="A16" location="'Manufacturing'!A1" display="Roof panels, manufactured — sell price" xr:uid="{00000000-0004-0000-0000-000009000000}"/>
    <hyperlink ref="A17" location="'Roof'!A1" display="Roof, site work (per the design)" xr:uid="{00000000-0004-0000-0000-00000A000000}"/>
    <hyperlink ref="A18" location="'Floor options'!A1" display="'Floor options'!A1" xr:uid="{00000000-0004-0000-0000-00000B000000}"/>
    <hyperlink ref="A19" location="'Floor options'!A1" display="'Floor options'!A1" xr:uid="{00000000-0004-0000-0000-00000C000000}"/>
    <hyperlink ref="A20" location="'Everything else'!A1" display="Plumbing" xr:uid="{00000000-0004-0000-0000-00000D000000}"/>
    <hyperlink ref="A21" location="'Everything else'!A1" display="Electrical" xr:uid="{00000000-0004-0000-0000-00000E000000}"/>
    <hyperlink ref="A22" location="'Everything else'!A1" display="Light fixtures" xr:uid="{00000000-0004-0000-0000-00000F000000}"/>
    <hyperlink ref="A23" location="'Everything else'!A1" display="Heating/cooling" xr:uid="{00000000-0004-0000-0000-000010000000}"/>
    <hyperlink ref="A24" location="'Everything else'!A1" display="Kitchen" xr:uid="{00000000-0004-0000-0000-000011000000}"/>
    <hyperlink ref="A25" location="'Everything else'!A1" display="Bathrooms" xr:uid="{00000000-0004-0000-0000-000012000000}"/>
    <hyperlink ref="A26" location="'Everything else'!A1" display="Flooring" xr:uid="{00000000-0004-0000-0000-000013000000}"/>
    <hyperlink ref="A27" location="'Everything else'!A1" display="Doors and windows" xr:uid="{00000000-0004-0000-0000-000014000000}"/>
    <hyperlink ref="A28" location="'Everything else'!A1" display="Interior finish" xr:uid="{00000000-0004-0000-0000-000015000000}"/>
    <hyperlink ref="A29" location="'Everything else'!A1" display="Exterior and site" xr:uid="{00000000-0004-0000-0000-000016000000}"/>
    <hyperlink ref="A30" location="'Everything else'!A1" display="Soft costs" xr:uid="{00000000-0004-0000-0000-00001700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63"/>
  <sheetViews>
    <sheetView showGridLines="0" workbookViewId="0">
      <pane ySplit="4" topLeftCell="A5" activePane="bottomLeft" state="frozen"/>
      <selection pane="bottomLeft"/>
    </sheetView>
  </sheetViews>
  <sheetFormatPr defaultRowHeight="14.4" x14ac:dyDescent="0.3"/>
  <cols>
    <col min="1" max="1" width="46" customWidth="1"/>
    <col min="2" max="2" width="14" customWidth="1"/>
    <col min="3" max="3" width="12" customWidth="1"/>
    <col min="4" max="4" width="9" customWidth="1"/>
    <col min="5" max="5" width="7" customWidth="1"/>
    <col min="6" max="6" width="40" customWidth="1"/>
    <col min="7" max="7" width="12" customWidth="1"/>
    <col min="8" max="10" width="13" customWidth="1"/>
    <col min="11" max="11" width="66" customWidth="1"/>
  </cols>
  <sheetData>
    <row r="1" spans="1:11" ht="17.399999999999999" x14ac:dyDescent="0.3">
      <c r="A1" s="60" t="s">
        <v>124</v>
      </c>
    </row>
    <row r="2" spans="1:11" x14ac:dyDescent="0.3">
      <c r="A2" s="2" t="s">
        <v>125</v>
      </c>
    </row>
    <row r="3" spans="1:11" x14ac:dyDescent="0.3">
      <c r="A3" s="2" t="s">
        <v>126</v>
      </c>
    </row>
    <row r="4" spans="1:11" x14ac:dyDescent="0.3">
      <c r="H4" s="3" t="s">
        <v>127</v>
      </c>
    </row>
    <row r="5" spans="1:11" x14ac:dyDescent="0.3">
      <c r="A5" s="4" t="s">
        <v>128</v>
      </c>
      <c r="B5" s="5"/>
      <c r="C5" s="5"/>
      <c r="D5" s="5"/>
      <c r="E5" s="5"/>
      <c r="F5" s="5"/>
      <c r="G5" s="5"/>
      <c r="H5" s="5"/>
      <c r="I5" s="5"/>
      <c r="J5" s="5"/>
      <c r="K5" s="5"/>
    </row>
    <row r="6" spans="1:11" x14ac:dyDescent="0.3">
      <c r="A6" s="6" t="s">
        <v>89</v>
      </c>
      <c r="B6" s="61">
        <f>$B$103</f>
        <v>34</v>
      </c>
      <c r="D6" s="2" t="s">
        <v>129</v>
      </c>
    </row>
    <row r="7" spans="1:11" x14ac:dyDescent="0.3">
      <c r="A7" s="6" t="s">
        <v>91</v>
      </c>
      <c r="B7" s="62">
        <f>$B$20</f>
        <v>150</v>
      </c>
      <c r="D7" s="2" t="s">
        <v>130</v>
      </c>
    </row>
    <row r="8" spans="1:11" x14ac:dyDescent="0.3">
      <c r="A8" s="6" t="s">
        <v>131</v>
      </c>
      <c r="B8" s="63">
        <f>$B$118</f>
        <v>1460</v>
      </c>
      <c r="C8" s="64">
        <f>$B$120</f>
        <v>1180.3333333333335</v>
      </c>
      <c r="D8" s="2" t="s">
        <v>132</v>
      </c>
    </row>
    <row r="9" spans="1:11" x14ac:dyDescent="0.3">
      <c r="A9" s="6" t="s">
        <v>133</v>
      </c>
      <c r="B9" s="65">
        <f>$B$282</f>
        <v>41.894547325102891</v>
      </c>
      <c r="D9" s="2" t="s">
        <v>134</v>
      </c>
    </row>
    <row r="10" spans="1:11" x14ac:dyDescent="0.3">
      <c r="A10" s="6" t="s">
        <v>135</v>
      </c>
      <c r="B10" s="65">
        <f>$B$283</f>
        <v>46.084002057613183</v>
      </c>
      <c r="D10" s="2" t="s">
        <v>136</v>
      </c>
    </row>
    <row r="11" spans="1:11" x14ac:dyDescent="0.3">
      <c r="A11" s="6" t="s">
        <v>137</v>
      </c>
      <c r="B11" s="66">
        <f>$B$283*$B$77</f>
        <v>27650.401234567911</v>
      </c>
      <c r="D11" s="2" t="s">
        <v>138</v>
      </c>
    </row>
    <row r="12" spans="1:11" x14ac:dyDescent="0.3">
      <c r="A12" s="6" t="s">
        <v>139</v>
      </c>
      <c r="B12" s="67">
        <f>$B$262</f>
        <v>212</v>
      </c>
      <c r="C12" s="68">
        <f>$B$266</f>
        <v>1661</v>
      </c>
      <c r="D12" s="2" t="s">
        <v>140</v>
      </c>
    </row>
    <row r="13" spans="1:11" x14ac:dyDescent="0.3">
      <c r="A13" s="6" t="s">
        <v>141</v>
      </c>
      <c r="B13" s="69">
        <f>$J$350</f>
        <v>33866.999917181078</v>
      </c>
      <c r="D13" s="2" t="s">
        <v>142</v>
      </c>
    </row>
    <row r="14" spans="1:11" x14ac:dyDescent="0.3">
      <c r="A14" s="6" t="s">
        <v>143</v>
      </c>
      <c r="B14" s="69">
        <f>$J$353</f>
        <v>22284.188176440333</v>
      </c>
      <c r="C14" s="70">
        <f>$J$355</f>
        <v>11582.811740740741</v>
      </c>
      <c r="D14" s="2" t="s">
        <v>144</v>
      </c>
    </row>
    <row r="15" spans="1:11" x14ac:dyDescent="0.3">
      <c r="A15" s="4" t="s">
        <v>145</v>
      </c>
      <c r="B15" s="5"/>
      <c r="C15" s="5"/>
      <c r="D15" s="5"/>
      <c r="E15" s="5"/>
      <c r="F15" s="5"/>
      <c r="G15" s="5"/>
      <c r="H15" s="5"/>
      <c r="I15" s="5"/>
      <c r="J15" s="5"/>
      <c r="K15" s="5"/>
    </row>
    <row r="16" spans="1:11" x14ac:dyDescent="0.3">
      <c r="A16" s="21" t="s">
        <v>146</v>
      </c>
      <c r="B16" s="71">
        <v>10</v>
      </c>
      <c r="C16" s="2" t="s">
        <v>147</v>
      </c>
      <c r="D16" s="2" t="s">
        <v>148</v>
      </c>
    </row>
    <row r="17" spans="1:4" x14ac:dyDescent="0.3">
      <c r="A17" s="21" t="s">
        <v>149</v>
      </c>
      <c r="B17" s="71">
        <v>7</v>
      </c>
      <c r="C17" s="2" t="s">
        <v>147</v>
      </c>
      <c r="D17" s="2" t="s">
        <v>150</v>
      </c>
    </row>
    <row r="18" spans="1:4" x14ac:dyDescent="0.3">
      <c r="A18" s="21" t="s">
        <v>151</v>
      </c>
      <c r="B18" s="71">
        <v>48</v>
      </c>
      <c r="C18" s="2" t="s">
        <v>152</v>
      </c>
      <c r="D18" s="2" t="s">
        <v>153</v>
      </c>
    </row>
    <row r="19" spans="1:4" x14ac:dyDescent="0.3">
      <c r="A19" s="21" t="s">
        <v>154</v>
      </c>
      <c r="B19" s="71">
        <v>120</v>
      </c>
      <c r="C19" s="2" t="s">
        <v>152</v>
      </c>
      <c r="D19" s="2" t="s">
        <v>155</v>
      </c>
    </row>
    <row r="20" spans="1:4" x14ac:dyDescent="0.3">
      <c r="A20" s="21" t="s">
        <v>156</v>
      </c>
      <c r="B20" s="72">
        <f>Roof!$B$9</f>
        <v>150</v>
      </c>
      <c r="C20" s="2" t="s">
        <v>152</v>
      </c>
      <c r="D20" s="2" t="s">
        <v>157</v>
      </c>
    </row>
    <row r="21" spans="1:4" x14ac:dyDescent="0.3">
      <c r="A21" s="21" t="s">
        <v>158</v>
      </c>
      <c r="B21" s="73">
        <f>Roof!$B$10</f>
        <v>1</v>
      </c>
      <c r="C21" s="2"/>
      <c r="D21" s="2" t="s">
        <v>159</v>
      </c>
    </row>
    <row r="22" spans="1:4" x14ac:dyDescent="0.3">
      <c r="A22" s="21" t="s">
        <v>160</v>
      </c>
      <c r="B22" s="71">
        <v>2</v>
      </c>
      <c r="C22" s="2" t="s">
        <v>152</v>
      </c>
      <c r="D22" s="2"/>
    </row>
    <row r="23" spans="1:4" x14ac:dyDescent="0.3">
      <c r="A23" s="21" t="s">
        <v>161</v>
      </c>
      <c r="B23" s="71">
        <v>1.5</v>
      </c>
      <c r="C23" s="2" t="s">
        <v>152</v>
      </c>
      <c r="D23" s="2" t="s">
        <v>162</v>
      </c>
    </row>
    <row r="24" spans="1:4" x14ac:dyDescent="0.3">
      <c r="A24" s="21" t="s">
        <v>163</v>
      </c>
      <c r="B24" s="71">
        <v>6</v>
      </c>
      <c r="C24" s="2" t="s">
        <v>152</v>
      </c>
      <c r="D24" s="2"/>
    </row>
    <row r="25" spans="1:4" x14ac:dyDescent="0.3">
      <c r="A25" s="21" t="s">
        <v>164</v>
      </c>
      <c r="B25" s="71">
        <v>2</v>
      </c>
      <c r="C25" s="2" t="s">
        <v>152</v>
      </c>
      <c r="D25" s="2" t="s">
        <v>165</v>
      </c>
    </row>
    <row r="26" spans="1:4" x14ac:dyDescent="0.3">
      <c r="A26" s="21" t="s">
        <v>166</v>
      </c>
      <c r="B26" s="71">
        <v>5</v>
      </c>
      <c r="C26" s="2" t="s">
        <v>152</v>
      </c>
      <c r="D26" s="2" t="s">
        <v>167</v>
      </c>
    </row>
    <row r="27" spans="1:4" x14ac:dyDescent="0.3">
      <c r="A27" s="21" t="s">
        <v>168</v>
      </c>
      <c r="B27" s="71">
        <v>16</v>
      </c>
      <c r="C27" s="2" t="s">
        <v>169</v>
      </c>
      <c r="D27" s="2"/>
    </row>
    <row r="28" spans="1:4" x14ac:dyDescent="0.3">
      <c r="A28" s="21" t="s">
        <v>170</v>
      </c>
      <c r="B28" s="71">
        <v>1.625</v>
      </c>
      <c r="C28" s="2" t="s">
        <v>152</v>
      </c>
      <c r="D28" s="2" t="s">
        <v>171</v>
      </c>
    </row>
    <row r="29" spans="1:4" x14ac:dyDescent="0.3">
      <c r="A29" s="21" t="s">
        <v>172</v>
      </c>
      <c r="B29" s="71">
        <v>48</v>
      </c>
      <c r="C29" s="2" t="s">
        <v>152</v>
      </c>
      <c r="D29" s="2" t="s">
        <v>173</v>
      </c>
    </row>
    <row r="30" spans="1:4" x14ac:dyDescent="0.3">
      <c r="A30" s="21" t="s">
        <v>174</v>
      </c>
      <c r="B30" s="71">
        <v>12</v>
      </c>
      <c r="C30" s="2" t="s">
        <v>152</v>
      </c>
      <c r="D30" s="2"/>
    </row>
    <row r="31" spans="1:4" x14ac:dyDescent="0.3">
      <c r="A31" s="21" t="s">
        <v>175</v>
      </c>
      <c r="B31" s="71">
        <v>2</v>
      </c>
      <c r="C31" s="2" t="s">
        <v>176</v>
      </c>
      <c r="D31" s="2" t="s">
        <v>177</v>
      </c>
    </row>
    <row r="32" spans="1:4" x14ac:dyDescent="0.3">
      <c r="A32" s="21" t="s">
        <v>178</v>
      </c>
      <c r="B32" s="71">
        <v>2</v>
      </c>
      <c r="C32" s="2" t="s">
        <v>147</v>
      </c>
      <c r="D32" s="2"/>
    </row>
    <row r="33" spans="1:11" x14ac:dyDescent="0.3">
      <c r="A33" s="21" t="s">
        <v>179</v>
      </c>
      <c r="B33" s="7">
        <v>4</v>
      </c>
      <c r="C33" s="2" t="s">
        <v>147</v>
      </c>
      <c r="D33" s="2" t="s">
        <v>180</v>
      </c>
    </row>
    <row r="34" spans="1:11" x14ac:dyDescent="0.3">
      <c r="A34" s="21" t="s">
        <v>181</v>
      </c>
      <c r="B34" s="71">
        <v>8</v>
      </c>
      <c r="C34" s="2" t="s">
        <v>147</v>
      </c>
      <c r="D34" s="2" t="s">
        <v>182</v>
      </c>
    </row>
    <row r="35" spans="1:11" x14ac:dyDescent="0.3">
      <c r="A35" s="21" t="s">
        <v>183</v>
      </c>
      <c r="B35" s="7">
        <v>12</v>
      </c>
      <c r="C35" s="2" t="s">
        <v>147</v>
      </c>
      <c r="D35" s="2" t="s">
        <v>184</v>
      </c>
    </row>
    <row r="36" spans="1:11" x14ac:dyDescent="0.3">
      <c r="A36" s="21" t="s">
        <v>185</v>
      </c>
      <c r="B36" s="71">
        <v>2</v>
      </c>
      <c r="C36" s="2" t="s">
        <v>147</v>
      </c>
      <c r="D36" s="2" t="s">
        <v>186</v>
      </c>
    </row>
    <row r="37" spans="1:11" x14ac:dyDescent="0.3">
      <c r="A37" s="21" t="s">
        <v>187</v>
      </c>
      <c r="B37" s="71">
        <v>1</v>
      </c>
      <c r="C37" s="2" t="s">
        <v>147</v>
      </c>
      <c r="D37" s="2" t="s">
        <v>188</v>
      </c>
    </row>
    <row r="38" spans="1:11" x14ac:dyDescent="0.3">
      <c r="A38" s="21" t="s">
        <v>189</v>
      </c>
      <c r="B38" s="71">
        <v>16</v>
      </c>
      <c r="C38" s="2" t="s">
        <v>152</v>
      </c>
      <c r="D38" s="2" t="s">
        <v>190</v>
      </c>
    </row>
    <row r="39" spans="1:11" x14ac:dyDescent="0.3">
      <c r="A39" s="21" t="s">
        <v>191</v>
      </c>
      <c r="B39" s="71">
        <v>48</v>
      </c>
      <c r="C39" s="2" t="s">
        <v>152</v>
      </c>
      <c r="D39" s="2"/>
    </row>
    <row r="40" spans="1:11" x14ac:dyDescent="0.3">
      <c r="A40" s="21" t="s">
        <v>192</v>
      </c>
      <c r="B40" s="71">
        <v>3</v>
      </c>
      <c r="C40" s="2" t="s">
        <v>147</v>
      </c>
      <c r="D40" s="2" t="s">
        <v>193</v>
      </c>
    </row>
    <row r="41" spans="1:11" x14ac:dyDescent="0.3">
      <c r="A41" s="21" t="s">
        <v>194</v>
      </c>
      <c r="B41" s="71">
        <v>4</v>
      </c>
      <c r="C41" s="2" t="s">
        <v>147</v>
      </c>
      <c r="D41" s="2" t="s">
        <v>195</v>
      </c>
    </row>
    <row r="43" spans="1:11" x14ac:dyDescent="0.3">
      <c r="A43" s="4" t="s">
        <v>196</v>
      </c>
      <c r="B43" s="5"/>
      <c r="C43" s="5"/>
      <c r="D43" s="5"/>
      <c r="E43" s="5"/>
      <c r="F43" s="5"/>
      <c r="G43" s="5"/>
      <c r="H43" s="5"/>
      <c r="I43" s="5"/>
      <c r="J43" s="5"/>
      <c r="K43" s="5"/>
    </row>
    <row r="44" spans="1:11" x14ac:dyDescent="0.3">
      <c r="A44" s="21" t="s">
        <v>197</v>
      </c>
      <c r="B44" s="74">
        <f>$B$21*$B$16</f>
        <v>10</v>
      </c>
      <c r="C44" s="2" t="s">
        <v>147</v>
      </c>
      <c r="D44" s="2" t="s">
        <v>198</v>
      </c>
    </row>
    <row r="45" spans="1:11" x14ac:dyDescent="0.3">
      <c r="A45" s="21" t="s">
        <v>199</v>
      </c>
      <c r="B45" s="71">
        <v>40</v>
      </c>
      <c r="C45" s="2" t="s">
        <v>152</v>
      </c>
      <c r="D45" s="2"/>
    </row>
    <row r="46" spans="1:11" x14ac:dyDescent="0.3">
      <c r="A46" s="21" t="s">
        <v>200</v>
      </c>
      <c r="B46" s="71">
        <v>24</v>
      </c>
      <c r="C46" s="2" t="s">
        <v>152</v>
      </c>
      <c r="D46" s="2"/>
    </row>
    <row r="47" spans="1:11" x14ac:dyDescent="0.3">
      <c r="A47" s="21" t="s">
        <v>201</v>
      </c>
      <c r="B47" s="71">
        <v>120</v>
      </c>
      <c r="C47" s="2" t="s">
        <v>152</v>
      </c>
      <c r="D47" s="2" t="s">
        <v>202</v>
      </c>
    </row>
    <row r="48" spans="1:11" x14ac:dyDescent="0.3">
      <c r="A48" s="21" t="s">
        <v>203</v>
      </c>
      <c r="B48" s="74">
        <f>1*$B$21</f>
        <v>1</v>
      </c>
      <c r="C48" s="2" t="s">
        <v>147</v>
      </c>
      <c r="D48" s="2" t="s">
        <v>204</v>
      </c>
    </row>
    <row r="49" spans="1:4" x14ac:dyDescent="0.3">
      <c r="A49" s="21" t="s">
        <v>205</v>
      </c>
      <c r="B49" s="71">
        <v>36</v>
      </c>
      <c r="C49" s="2" t="s">
        <v>152</v>
      </c>
      <c r="D49" s="2"/>
    </row>
    <row r="50" spans="1:4" x14ac:dyDescent="0.3">
      <c r="A50" s="21" t="s">
        <v>206</v>
      </c>
      <c r="B50" s="71">
        <v>84</v>
      </c>
      <c r="C50" s="2" t="s">
        <v>152</v>
      </c>
      <c r="D50" s="2"/>
    </row>
    <row r="51" spans="1:4" x14ac:dyDescent="0.3">
      <c r="A51" s="21" t="s">
        <v>207</v>
      </c>
      <c r="B51" s="71">
        <v>0</v>
      </c>
      <c r="C51" s="2" t="s">
        <v>152</v>
      </c>
      <c r="D51" s="2" t="s">
        <v>208</v>
      </c>
    </row>
    <row r="52" spans="1:4" x14ac:dyDescent="0.3">
      <c r="A52" s="21" t="s">
        <v>209</v>
      </c>
      <c r="B52" s="74">
        <f>7*$B$21</f>
        <v>7</v>
      </c>
      <c r="C52" s="2" t="s">
        <v>147</v>
      </c>
      <c r="D52" s="2" t="s">
        <v>210</v>
      </c>
    </row>
    <row r="53" spans="1:4" x14ac:dyDescent="0.3">
      <c r="A53" s="21" t="s">
        <v>211</v>
      </c>
      <c r="B53" s="71">
        <v>40</v>
      </c>
      <c r="C53" s="2" t="s">
        <v>152</v>
      </c>
      <c r="D53" s="2"/>
    </row>
    <row r="54" spans="1:4" x14ac:dyDescent="0.3">
      <c r="A54" s="21" t="s">
        <v>212</v>
      </c>
      <c r="B54" s="71">
        <v>72</v>
      </c>
      <c r="C54" s="2" t="s">
        <v>152</v>
      </c>
      <c r="D54" s="2"/>
    </row>
    <row r="55" spans="1:4" x14ac:dyDescent="0.3">
      <c r="A55" s="21" t="s">
        <v>213</v>
      </c>
      <c r="B55" s="71">
        <v>24</v>
      </c>
      <c r="C55" s="2" t="s">
        <v>152</v>
      </c>
      <c r="D55" s="2" t="s">
        <v>208</v>
      </c>
    </row>
    <row r="56" spans="1:4" x14ac:dyDescent="0.3">
      <c r="A56" s="21" t="s">
        <v>214</v>
      </c>
      <c r="B56" s="71">
        <v>4</v>
      </c>
      <c r="C56" s="2" t="s">
        <v>147</v>
      </c>
      <c r="D56" s="2" t="s">
        <v>215</v>
      </c>
    </row>
    <row r="57" spans="1:4" x14ac:dyDescent="0.3">
      <c r="A57" s="21" t="s">
        <v>211</v>
      </c>
      <c r="B57" s="71">
        <v>36</v>
      </c>
      <c r="C57" s="2" t="s">
        <v>152</v>
      </c>
      <c r="D57" s="2"/>
    </row>
    <row r="58" spans="1:4" x14ac:dyDescent="0.3">
      <c r="A58" s="21" t="s">
        <v>212</v>
      </c>
      <c r="B58" s="71">
        <v>48</v>
      </c>
      <c r="C58" s="2" t="s">
        <v>152</v>
      </c>
      <c r="D58" s="2"/>
    </row>
    <row r="59" spans="1:4" x14ac:dyDescent="0.3">
      <c r="A59" s="21" t="s">
        <v>213</v>
      </c>
      <c r="B59" s="71">
        <v>42</v>
      </c>
      <c r="C59" s="2" t="s">
        <v>152</v>
      </c>
      <c r="D59" s="2" t="s">
        <v>208</v>
      </c>
    </row>
    <row r="60" spans="1:4" x14ac:dyDescent="0.3">
      <c r="A60" s="21" t="s">
        <v>214</v>
      </c>
      <c r="B60" s="71">
        <v>1</v>
      </c>
      <c r="C60" s="2" t="s">
        <v>147</v>
      </c>
      <c r="D60" s="2" t="s">
        <v>216</v>
      </c>
    </row>
    <row r="61" spans="1:4" x14ac:dyDescent="0.3">
      <c r="A61" s="21" t="s">
        <v>211</v>
      </c>
      <c r="B61" s="71">
        <v>24</v>
      </c>
      <c r="C61" s="2" t="s">
        <v>152</v>
      </c>
      <c r="D61" s="2"/>
    </row>
    <row r="62" spans="1:4" x14ac:dyDescent="0.3">
      <c r="A62" s="21" t="s">
        <v>212</v>
      </c>
      <c r="B62" s="71">
        <v>24</v>
      </c>
      <c r="C62" s="2" t="s">
        <v>152</v>
      </c>
      <c r="D62" s="2"/>
    </row>
    <row r="63" spans="1:4" x14ac:dyDescent="0.3">
      <c r="A63" s="21" t="s">
        <v>213</v>
      </c>
      <c r="B63" s="71">
        <v>60</v>
      </c>
      <c r="C63" s="2" t="s">
        <v>152</v>
      </c>
      <c r="D63" s="2" t="s">
        <v>208</v>
      </c>
    </row>
    <row r="64" spans="1:4" x14ac:dyDescent="0.3">
      <c r="A64" s="21" t="s">
        <v>217</v>
      </c>
      <c r="B64" s="74">
        <f>1*(1-$B$21)</f>
        <v>0</v>
      </c>
      <c r="C64" s="2" t="s">
        <v>147</v>
      </c>
      <c r="D64" s="2" t="s">
        <v>218</v>
      </c>
    </row>
    <row r="65" spans="1:11" x14ac:dyDescent="0.3">
      <c r="A65" s="21" t="s">
        <v>205</v>
      </c>
      <c r="B65" s="71">
        <v>36</v>
      </c>
      <c r="C65" s="2" t="s">
        <v>152</v>
      </c>
      <c r="D65" s="2"/>
    </row>
    <row r="66" spans="1:11" x14ac:dyDescent="0.3">
      <c r="A66" s="21" t="s">
        <v>206</v>
      </c>
      <c r="B66" s="71">
        <v>84</v>
      </c>
      <c r="C66" s="2" t="s">
        <v>152</v>
      </c>
      <c r="D66" s="2"/>
    </row>
    <row r="67" spans="1:11" x14ac:dyDescent="0.3">
      <c r="A67" s="21" t="s">
        <v>207</v>
      </c>
      <c r="B67" s="71">
        <v>0</v>
      </c>
      <c r="C67" s="2" t="s">
        <v>152</v>
      </c>
      <c r="D67" s="2" t="s">
        <v>208</v>
      </c>
    </row>
    <row r="68" spans="1:11" x14ac:dyDescent="0.3">
      <c r="A68" s="21" t="s">
        <v>214</v>
      </c>
      <c r="B68" s="74">
        <f>7*(1-$B$21)</f>
        <v>0</v>
      </c>
      <c r="C68" s="2" t="s">
        <v>147</v>
      </c>
      <c r="D68" s="2" t="s">
        <v>219</v>
      </c>
    </row>
    <row r="69" spans="1:11" x14ac:dyDescent="0.3">
      <c r="A69" s="21" t="s">
        <v>211</v>
      </c>
      <c r="B69" s="71">
        <v>40</v>
      </c>
      <c r="C69" s="2" t="s">
        <v>152</v>
      </c>
      <c r="D69" s="2"/>
    </row>
    <row r="70" spans="1:11" x14ac:dyDescent="0.3">
      <c r="A70" s="21" t="s">
        <v>212</v>
      </c>
      <c r="B70" s="71">
        <v>72</v>
      </c>
      <c r="C70" s="2" t="s">
        <v>152</v>
      </c>
      <c r="D70" s="2"/>
    </row>
    <row r="71" spans="1:11" x14ac:dyDescent="0.3">
      <c r="A71" s="21" t="s">
        <v>213</v>
      </c>
      <c r="B71" s="71">
        <v>24</v>
      </c>
      <c r="C71" s="2" t="s">
        <v>152</v>
      </c>
      <c r="D71" s="2" t="s">
        <v>208</v>
      </c>
    </row>
    <row r="72" spans="1:11" x14ac:dyDescent="0.3">
      <c r="A72" s="21" t="s">
        <v>220</v>
      </c>
      <c r="B72" s="74">
        <f>$B$21*($B$16-($B$48+$B$52))</f>
        <v>2</v>
      </c>
      <c r="C72" s="2" t="s">
        <v>147</v>
      </c>
      <c r="D72" s="2" t="s">
        <v>221</v>
      </c>
    </row>
    <row r="74" spans="1:11" x14ac:dyDescent="0.3">
      <c r="A74" s="4" t="s">
        <v>222</v>
      </c>
      <c r="B74" s="5"/>
      <c r="C74" s="5"/>
      <c r="D74" s="5"/>
      <c r="E74" s="5"/>
      <c r="F74" s="5"/>
      <c r="G74" s="5"/>
      <c r="H74" s="5"/>
      <c r="I74" s="5"/>
      <c r="J74" s="5"/>
      <c r="K74" s="5"/>
    </row>
    <row r="75" spans="1:11" x14ac:dyDescent="0.3">
      <c r="A75" s="21" t="s">
        <v>223</v>
      </c>
      <c r="B75" s="71">
        <v>35</v>
      </c>
      <c r="C75" s="2" t="s">
        <v>224</v>
      </c>
      <c r="D75" s="2" t="s">
        <v>225</v>
      </c>
    </row>
    <row r="76" spans="1:11" x14ac:dyDescent="0.3">
      <c r="A76" s="21" t="s">
        <v>226</v>
      </c>
      <c r="B76" s="71">
        <v>30</v>
      </c>
      <c r="C76" s="2" t="s">
        <v>224</v>
      </c>
      <c r="D76" s="2" t="s">
        <v>227</v>
      </c>
    </row>
    <row r="77" spans="1:11" x14ac:dyDescent="0.3">
      <c r="A77" s="21" t="s">
        <v>228</v>
      </c>
      <c r="B77" s="75">
        <v>600</v>
      </c>
      <c r="C77" s="2" t="s">
        <v>229</v>
      </c>
      <c r="D77" s="2" t="s">
        <v>230</v>
      </c>
    </row>
    <row r="78" spans="1:11" x14ac:dyDescent="0.3">
      <c r="A78" s="21" t="s">
        <v>231</v>
      </c>
      <c r="B78" s="76">
        <v>200</v>
      </c>
      <c r="C78" s="2" t="s">
        <v>232</v>
      </c>
      <c r="D78" s="2" t="s">
        <v>233</v>
      </c>
    </row>
    <row r="79" spans="1:11" x14ac:dyDescent="0.3">
      <c r="A79" s="21" t="s">
        <v>234</v>
      </c>
      <c r="B79" s="76">
        <v>20</v>
      </c>
      <c r="C79" s="2" t="s">
        <v>232</v>
      </c>
      <c r="D79" s="2" t="s">
        <v>235</v>
      </c>
    </row>
    <row r="80" spans="1:11" x14ac:dyDescent="0.3">
      <c r="A80" s="21" t="s">
        <v>236</v>
      </c>
      <c r="B80" s="7">
        <v>94</v>
      </c>
      <c r="C80" s="2" t="s">
        <v>237</v>
      </c>
      <c r="D80" s="2" t="s">
        <v>238</v>
      </c>
    </row>
    <row r="81" spans="1:11" x14ac:dyDescent="0.3">
      <c r="A81" s="21" t="s">
        <v>239</v>
      </c>
      <c r="B81" s="8">
        <v>0.1</v>
      </c>
      <c r="C81" s="2" t="s">
        <v>240</v>
      </c>
      <c r="D81" s="2" t="s">
        <v>241</v>
      </c>
    </row>
    <row r="82" spans="1:11" x14ac:dyDescent="0.3">
      <c r="A82" s="21" t="s">
        <v>242</v>
      </c>
      <c r="B82" s="8">
        <v>0.1</v>
      </c>
      <c r="C82" s="2" t="s">
        <v>240</v>
      </c>
      <c r="D82" s="2"/>
    </row>
    <row r="83" spans="1:11" x14ac:dyDescent="0.3">
      <c r="A83" s="21" t="s">
        <v>243</v>
      </c>
      <c r="B83" s="7">
        <v>540</v>
      </c>
      <c r="C83" s="2" t="s">
        <v>244</v>
      </c>
      <c r="D83" s="2" t="s">
        <v>245</v>
      </c>
    </row>
    <row r="84" spans="1:11" x14ac:dyDescent="0.3">
      <c r="A84" s="21" t="s">
        <v>246</v>
      </c>
      <c r="B84" s="8">
        <v>0.1</v>
      </c>
      <c r="C84" s="2" t="s">
        <v>240</v>
      </c>
      <c r="D84" s="2" t="s">
        <v>247</v>
      </c>
    </row>
    <row r="85" spans="1:11" x14ac:dyDescent="0.3">
      <c r="A85" s="21" t="s">
        <v>248</v>
      </c>
      <c r="B85" s="7">
        <v>10</v>
      </c>
      <c r="C85" s="2" t="s">
        <v>249</v>
      </c>
      <c r="D85" s="2" t="s">
        <v>250</v>
      </c>
    </row>
    <row r="86" spans="1:11" x14ac:dyDescent="0.3">
      <c r="A86" s="21" t="s">
        <v>251</v>
      </c>
      <c r="B86" s="7">
        <v>10</v>
      </c>
      <c r="C86" s="2" t="s">
        <v>249</v>
      </c>
      <c r="D86" s="2"/>
    </row>
    <row r="87" spans="1:11" x14ac:dyDescent="0.3">
      <c r="A87" s="21" t="s">
        <v>252</v>
      </c>
      <c r="B87" s="7">
        <v>16</v>
      </c>
      <c r="C87" s="2" t="s">
        <v>249</v>
      </c>
      <c r="D87" s="2" t="s">
        <v>253</v>
      </c>
    </row>
    <row r="88" spans="1:11" x14ac:dyDescent="0.3">
      <c r="A88" s="21" t="s">
        <v>254</v>
      </c>
      <c r="B88" s="77">
        <f>Summary!$B$8</f>
        <v>0.1</v>
      </c>
      <c r="C88" s="2" t="s">
        <v>240</v>
      </c>
      <c r="D88" s="2" t="s">
        <v>255</v>
      </c>
    </row>
    <row r="90" spans="1:11" x14ac:dyDescent="0.3">
      <c r="A90" s="4" t="s">
        <v>256</v>
      </c>
      <c r="B90" s="5"/>
      <c r="C90" s="5"/>
      <c r="D90" s="5"/>
      <c r="E90" s="5"/>
      <c r="F90" s="5"/>
      <c r="G90" s="5"/>
      <c r="H90" s="5"/>
      <c r="I90" s="5"/>
      <c r="J90" s="5"/>
      <c r="K90" s="5"/>
    </row>
    <row r="91" spans="1:11" x14ac:dyDescent="0.3">
      <c r="A91" s="21" t="s">
        <v>257</v>
      </c>
      <c r="B91" s="76">
        <v>35</v>
      </c>
      <c r="C91" s="2" t="s">
        <v>258</v>
      </c>
      <c r="D91" s="2" t="s">
        <v>259</v>
      </c>
    </row>
    <row r="92" spans="1:11" x14ac:dyDescent="0.3">
      <c r="A92" s="21" t="s">
        <v>260</v>
      </c>
      <c r="B92" s="7">
        <v>16</v>
      </c>
      <c r="C92" s="2" t="s">
        <v>261</v>
      </c>
      <c r="D92" s="2" t="s">
        <v>262</v>
      </c>
    </row>
    <row r="93" spans="1:11" x14ac:dyDescent="0.3">
      <c r="A93" s="21" t="s">
        <v>263</v>
      </c>
      <c r="B93" s="78">
        <v>0.1</v>
      </c>
      <c r="C93" s="2" t="s">
        <v>264</v>
      </c>
      <c r="D93" s="2" t="s">
        <v>265</v>
      </c>
    </row>
    <row r="94" spans="1:11" x14ac:dyDescent="0.3">
      <c r="A94" s="21" t="s">
        <v>266</v>
      </c>
      <c r="B94" s="78">
        <v>0.03</v>
      </c>
      <c r="C94" s="2" t="s">
        <v>267</v>
      </c>
      <c r="D94" s="2" t="s">
        <v>268</v>
      </c>
    </row>
    <row r="95" spans="1:11" x14ac:dyDescent="0.3">
      <c r="A95" s="21" t="s">
        <v>269</v>
      </c>
      <c r="B95" s="79">
        <v>1.5</v>
      </c>
      <c r="C95" s="2" t="s">
        <v>270</v>
      </c>
      <c r="D95" s="2" t="s">
        <v>271</v>
      </c>
    </row>
    <row r="96" spans="1:11" x14ac:dyDescent="0.3">
      <c r="A96" s="21" t="s">
        <v>272</v>
      </c>
      <c r="B96" s="78">
        <v>1.5</v>
      </c>
      <c r="C96" s="2" t="s">
        <v>273</v>
      </c>
      <c r="D96" s="2" t="s">
        <v>274</v>
      </c>
    </row>
    <row r="97" spans="1:11" x14ac:dyDescent="0.3">
      <c r="A97" s="21" t="s">
        <v>275</v>
      </c>
      <c r="B97" s="78">
        <v>0.75</v>
      </c>
      <c r="C97" s="2" t="s">
        <v>273</v>
      </c>
      <c r="D97" s="2"/>
    </row>
    <row r="98" spans="1:11" x14ac:dyDescent="0.3">
      <c r="A98" s="21" t="s">
        <v>276</v>
      </c>
      <c r="B98" s="78">
        <v>1</v>
      </c>
      <c r="C98" s="2" t="s">
        <v>273</v>
      </c>
      <c r="D98" s="2" t="s">
        <v>277</v>
      </c>
    </row>
    <row r="99" spans="1:11" x14ac:dyDescent="0.3">
      <c r="A99" s="21" t="s">
        <v>278</v>
      </c>
      <c r="B99" s="78">
        <v>1</v>
      </c>
      <c r="C99" s="2" t="s">
        <v>273</v>
      </c>
      <c r="D99" s="2"/>
    </row>
    <row r="100" spans="1:11" x14ac:dyDescent="0.3">
      <c r="A100" s="21" t="s">
        <v>279</v>
      </c>
      <c r="B100" s="79">
        <v>2</v>
      </c>
      <c r="C100" s="2" t="s">
        <v>270</v>
      </c>
      <c r="D100" s="2" t="s">
        <v>280</v>
      </c>
    </row>
    <row r="102" spans="1:11" x14ac:dyDescent="0.3">
      <c r="A102" s="4" t="s">
        <v>281</v>
      </c>
      <c r="B102" s="5"/>
      <c r="C102" s="5"/>
      <c r="D102" s="5"/>
      <c r="E102" s="5"/>
      <c r="F102" s="5"/>
      <c r="G102" s="5"/>
      <c r="H102" s="5"/>
      <c r="I102" s="5"/>
      <c r="J102" s="5"/>
      <c r="K102" s="5"/>
    </row>
    <row r="103" spans="1:11" x14ac:dyDescent="0.3">
      <c r="A103" s="21" t="s">
        <v>89</v>
      </c>
      <c r="B103" s="74">
        <f>2*($B$16+$B$17)</f>
        <v>34</v>
      </c>
      <c r="C103" s="2" t="s">
        <v>147</v>
      </c>
      <c r="D103" s="2" t="s">
        <v>129</v>
      </c>
    </row>
    <row r="104" spans="1:11" x14ac:dyDescent="0.3">
      <c r="A104" s="21" t="s">
        <v>282</v>
      </c>
      <c r="B104" s="74">
        <f>$B$17+$B$16+$B$17</f>
        <v>24</v>
      </c>
      <c r="C104" s="2" t="s">
        <v>147</v>
      </c>
      <c r="D104" s="2"/>
    </row>
    <row r="105" spans="1:11" x14ac:dyDescent="0.3">
      <c r="A105" s="21" t="s">
        <v>283</v>
      </c>
      <c r="B105" s="74">
        <f>$B$16</f>
        <v>10</v>
      </c>
      <c r="C105" s="2" t="s">
        <v>147</v>
      </c>
      <c r="D105" s="2"/>
    </row>
    <row r="106" spans="1:11" x14ac:dyDescent="0.3">
      <c r="A106" s="21" t="s">
        <v>284</v>
      </c>
      <c r="B106" s="74">
        <f>$B$48+$B$52+$B$56+$B$60+$B$64+$B$68+$B$72</f>
        <v>15</v>
      </c>
      <c r="C106" s="2" t="s">
        <v>147</v>
      </c>
      <c r="D106" s="2"/>
    </row>
    <row r="107" spans="1:11" x14ac:dyDescent="0.3">
      <c r="A107" s="21" t="s">
        <v>285</v>
      </c>
      <c r="B107" s="74">
        <f>$B$104-($B$56+$B$60)</f>
        <v>19</v>
      </c>
      <c r="C107" s="2" t="s">
        <v>147</v>
      </c>
      <c r="D107" s="2" t="s">
        <v>286</v>
      </c>
    </row>
    <row r="108" spans="1:11" x14ac:dyDescent="0.3">
      <c r="A108" s="21" t="s">
        <v>287</v>
      </c>
      <c r="B108" s="74">
        <f>$B$105-($B$48+$B$52+$B$64+$B$68+$B$72)</f>
        <v>0</v>
      </c>
      <c r="C108" s="2" t="s">
        <v>147</v>
      </c>
      <c r="D108" s="2" t="s">
        <v>286</v>
      </c>
    </row>
    <row r="109" spans="1:11" x14ac:dyDescent="0.3">
      <c r="A109" s="21" t="s">
        <v>288</v>
      </c>
      <c r="B109" s="74">
        <f>$B$107+$B$108</f>
        <v>19</v>
      </c>
      <c r="C109" s="2" t="s">
        <v>147</v>
      </c>
      <c r="D109" s="2"/>
    </row>
    <row r="110" spans="1:11" x14ac:dyDescent="0.3">
      <c r="A110" s="21" t="s">
        <v>289</v>
      </c>
      <c r="B110" s="80">
        <f>MAX($B$19,$B$20)</f>
        <v>150</v>
      </c>
      <c r="C110" s="2" t="s">
        <v>152</v>
      </c>
      <c r="D110" s="2" t="s">
        <v>290</v>
      </c>
    </row>
    <row r="111" spans="1:11" x14ac:dyDescent="0.3">
      <c r="A111" s="21" t="s">
        <v>291</v>
      </c>
      <c r="B111" s="80">
        <f>$B$22+$B$23+$B$24+$B$25</f>
        <v>11.5</v>
      </c>
      <c r="C111" s="2" t="s">
        <v>152</v>
      </c>
      <c r="D111" s="2" t="s">
        <v>292</v>
      </c>
    </row>
    <row r="112" spans="1:11" x14ac:dyDescent="0.3">
      <c r="A112" s="21" t="s">
        <v>293</v>
      </c>
      <c r="B112" s="80">
        <f>$B$111-$B$25-$B$26</f>
        <v>4.5</v>
      </c>
      <c r="C112" s="2" t="s">
        <v>152</v>
      </c>
      <c r="D112" s="2" t="s">
        <v>294</v>
      </c>
    </row>
    <row r="113" spans="1:4" x14ac:dyDescent="0.3">
      <c r="A113" s="21" t="s">
        <v>295</v>
      </c>
      <c r="B113" s="80">
        <f>$B$16*$B$18</f>
        <v>480</v>
      </c>
      <c r="C113" s="2" t="s">
        <v>152</v>
      </c>
      <c r="D113" s="2"/>
    </row>
    <row r="114" spans="1:4" x14ac:dyDescent="0.3">
      <c r="A114" s="21" t="s">
        <v>296</v>
      </c>
      <c r="B114" s="80">
        <f>$B$17*$B$18+2*$B$111</f>
        <v>359</v>
      </c>
      <c r="C114" s="2" t="s">
        <v>152</v>
      </c>
      <c r="D114" s="2" t="s">
        <v>297</v>
      </c>
    </row>
    <row r="115" spans="1:4" x14ac:dyDescent="0.3">
      <c r="A115" s="21" t="s">
        <v>298</v>
      </c>
      <c r="B115" s="81">
        <f>2*($B$113+$B$114)/12</f>
        <v>139.83333333333334</v>
      </c>
      <c r="C115" s="2" t="s">
        <v>299</v>
      </c>
      <c r="D115" s="2" t="s">
        <v>300</v>
      </c>
    </row>
    <row r="116" spans="1:4" x14ac:dyDescent="0.3">
      <c r="A116" s="21" t="s">
        <v>301</v>
      </c>
      <c r="B116" s="81">
        <f>$B$18*$B$19/144</f>
        <v>40</v>
      </c>
      <c r="C116" s="2" t="s">
        <v>302</v>
      </c>
      <c r="D116" s="2"/>
    </row>
    <row r="117" spans="1:4" x14ac:dyDescent="0.3">
      <c r="A117" s="21" t="s">
        <v>303</v>
      </c>
      <c r="B117" s="81">
        <f>$B$18*$B$110/144</f>
        <v>50</v>
      </c>
      <c r="C117" s="2" t="s">
        <v>302</v>
      </c>
      <c r="D117" s="2"/>
    </row>
    <row r="118" spans="1:4" x14ac:dyDescent="0.3">
      <c r="A118" s="21" t="s">
        <v>304</v>
      </c>
      <c r="B118" s="81">
        <f>$B$104*$B$18*$B$19/144+$B$105*$B$18*$B$20/144</f>
        <v>1460</v>
      </c>
      <c r="C118" s="2" t="s">
        <v>302</v>
      </c>
      <c r="D118" s="2" t="s">
        <v>305</v>
      </c>
    </row>
    <row r="119" spans="1:4" x14ac:dyDescent="0.3">
      <c r="A119" s="21" t="s">
        <v>306</v>
      </c>
      <c r="B119" s="81">
        <f>$B$48*($B$49*$B$50+$B$45*$B$46)/144+$B$52*($B$53*$B$54+$B$45*$B$46)/144+$B$56*($B$57*$B$58)/144+$B$60*($B$61*$B$62)/144+$B$64*($B$65*$B$66)/144+$B$68*($B$69*$B$70)/144+$B$72*($B$45*$B$46)/144</f>
        <v>279.66666666666663</v>
      </c>
      <c r="C119" s="2" t="s">
        <v>302</v>
      </c>
      <c r="D119" s="2"/>
    </row>
    <row r="120" spans="1:4" x14ac:dyDescent="0.3">
      <c r="A120" s="21" t="s">
        <v>307</v>
      </c>
      <c r="B120" s="81">
        <f>$B$118-$B$119</f>
        <v>1180.3333333333335</v>
      </c>
      <c r="C120" s="2" t="s">
        <v>302</v>
      </c>
      <c r="D120" s="2"/>
    </row>
    <row r="121" spans="1:4" x14ac:dyDescent="0.3">
      <c r="A121" s="21" t="s">
        <v>308</v>
      </c>
      <c r="B121" s="74">
        <f>INT(($B$18-$B$28)/$B$27)+1</f>
        <v>3</v>
      </c>
      <c r="C121" s="2" t="s">
        <v>147</v>
      </c>
      <c r="D121" s="2" t="s">
        <v>309</v>
      </c>
    </row>
    <row r="122" spans="1:4" x14ac:dyDescent="0.3">
      <c r="A122" s="21" t="s">
        <v>310</v>
      </c>
      <c r="B122" s="74">
        <f>$B$121+1</f>
        <v>4</v>
      </c>
      <c r="C122" s="2" t="s">
        <v>147</v>
      </c>
      <c r="D122" s="2" t="s">
        <v>311</v>
      </c>
    </row>
    <row r="123" spans="1:4" x14ac:dyDescent="0.3">
      <c r="A123" s="21" t="s">
        <v>312</v>
      </c>
      <c r="B123" s="74">
        <f>INT(($B$19-2*$B$30)/$B$29)+1+IF(MOD($B$19-2*$B$30,$B$29)&gt;0,1,0)</f>
        <v>3</v>
      </c>
      <c r="C123" s="2" t="s">
        <v>147</v>
      </c>
      <c r="D123" s="2" t="s">
        <v>313</v>
      </c>
    </row>
    <row r="124" spans="1:4" x14ac:dyDescent="0.3">
      <c r="A124" s="21" t="s">
        <v>314</v>
      </c>
      <c r="B124" s="74">
        <f>INT(($B$20-2*$B$30)/$B$29)+1+IF(MOD($B$20-2*$B$30,$B$29)&gt;0,1,0)</f>
        <v>4</v>
      </c>
      <c r="C124" s="2" t="s">
        <v>147</v>
      </c>
      <c r="D124" s="2" t="s">
        <v>313</v>
      </c>
    </row>
    <row r="125" spans="1:4" x14ac:dyDescent="0.3">
      <c r="A125" s="6" t="s">
        <v>315</v>
      </c>
    </row>
    <row r="126" spans="1:4" x14ac:dyDescent="0.3">
      <c r="A126" s="21" t="s">
        <v>316</v>
      </c>
      <c r="B126" s="74">
        <f>MAX(0,MIN(ROUNDUP((($B$18+$B$49)/2)/$B$27,0)-1,$B$121-1)-MAX(INT(((($B$18-$B$49)/2)-$B$28)/$B$27)+1,0)+1)</f>
        <v>2</v>
      </c>
      <c r="C126" s="2" t="s">
        <v>317</v>
      </c>
      <c r="D126" s="2" t="s">
        <v>318</v>
      </c>
    </row>
    <row r="127" spans="1:4" x14ac:dyDescent="0.3">
      <c r="A127" s="21" t="s">
        <v>319</v>
      </c>
      <c r="B127" s="74">
        <f>IF($B$51+$B$50&lt;$B$20,1,0)</f>
        <v>1</v>
      </c>
      <c r="C127" s="2"/>
      <c r="D127" s="2"/>
    </row>
    <row r="128" spans="1:4" x14ac:dyDescent="0.3">
      <c r="A128" s="21" t="s">
        <v>320</v>
      </c>
      <c r="B128" s="74">
        <f>IF($B$51&gt;0,1,0)</f>
        <v>0</v>
      </c>
      <c r="C128" s="2"/>
      <c r="D128" s="2"/>
    </row>
    <row r="129" spans="1:4" x14ac:dyDescent="0.3">
      <c r="A129" s="21" t="s">
        <v>321</v>
      </c>
      <c r="B129" s="74">
        <f>MAX(0,MIN($B$124-2,INT(($B$51+$B$50-$B$30)/$B$29))-MAX(0,ROUNDUP(($B$51-$B$30)/$B$29,0))+1)+IF(AND($B$20-$B$30&gt;=$B$51,$B$20-$B$30&lt;=$B$51+$B$50),1,0)</f>
        <v>2</v>
      </c>
      <c r="C129" s="2" t="s">
        <v>317</v>
      </c>
      <c r="D129" s="2" t="s">
        <v>322</v>
      </c>
    </row>
    <row r="130" spans="1:4" x14ac:dyDescent="0.3">
      <c r="A130" s="21" t="s">
        <v>323</v>
      </c>
      <c r="B130" s="74">
        <f>$B$128*IF(OR(AND(($B$51)&gt;=$B$30,($B$51)&lt;=$B$20-$B$30,MOD(($B$51)-$B$30,$B$29)=0),($B$51)=$B$20-$B$30),1,0)+$B$127*IF(OR(AND(($B$51+$B$50)&gt;=$B$30,($B$51+$B$50)&lt;=$B$20-$B$30,MOD(($B$51+$B$50)-$B$30,$B$29)=0),($B$51+$B$50)=$B$20-$B$30),1,0)</f>
        <v>0</v>
      </c>
      <c r="C130" s="2" t="s">
        <v>317</v>
      </c>
      <c r="D130" s="2" t="s">
        <v>324</v>
      </c>
    </row>
    <row r="131" spans="1:4" x14ac:dyDescent="0.3">
      <c r="A131" s="21" t="s">
        <v>325</v>
      </c>
      <c r="B131" s="74">
        <f>MAX(0,MIN(ROUNDUP((($B$18+$B$45)/2)/$B$27,0)-1,$B$121-1)-MAX(INT(((($B$18-$B$45)/2)-$B$28)/$B$27)+1,0)+1)</f>
        <v>2</v>
      </c>
      <c r="C131" s="2" t="s">
        <v>317</v>
      </c>
      <c r="D131" s="2" t="s">
        <v>318</v>
      </c>
    </row>
    <row r="132" spans="1:4" x14ac:dyDescent="0.3">
      <c r="A132" s="21" t="s">
        <v>326</v>
      </c>
      <c r="B132" s="74">
        <f>IF($B$47+$B$46&lt;$B$20,1,0)</f>
        <v>1</v>
      </c>
      <c r="C132" s="2"/>
      <c r="D132" s="2"/>
    </row>
    <row r="133" spans="1:4" x14ac:dyDescent="0.3">
      <c r="A133" s="21" t="s">
        <v>327</v>
      </c>
      <c r="B133" s="74">
        <f>IF($B$47&gt;0,1,0)</f>
        <v>1</v>
      </c>
      <c r="C133" s="2"/>
      <c r="D133" s="2"/>
    </row>
    <row r="134" spans="1:4" x14ac:dyDescent="0.3">
      <c r="A134" s="21" t="s">
        <v>328</v>
      </c>
      <c r="B134" s="74">
        <f>MAX(0,MIN($B$124-2,INT(($B$47+$B$46-$B$30)/$B$29))-MAX(0,ROUNDUP(($B$47-$B$30)/$B$29,0))+1)+IF(AND($B$20-$B$30&gt;=$B$47,$B$20-$B$30&lt;=$B$47+$B$46),1,0)</f>
        <v>1</v>
      </c>
      <c r="C134" s="2" t="s">
        <v>317</v>
      </c>
      <c r="D134" s="2" t="s">
        <v>322</v>
      </c>
    </row>
    <row r="135" spans="1:4" x14ac:dyDescent="0.3">
      <c r="A135" s="21" t="s">
        <v>329</v>
      </c>
      <c r="B135" s="74">
        <f>$B$133*IF(OR(AND(($B$47)&gt;=$B$30,($B$47)&lt;=$B$20-$B$30,MOD(($B$47)-$B$30,$B$29)=0),($B$47)=$B$20-$B$30),1,0)+$B$132*IF(OR(AND(($B$47+$B$46)&gt;=$B$30,($B$47+$B$46)&lt;=$B$20-$B$30,MOD(($B$47+$B$46)-$B$30,$B$29)=0),($B$47+$B$46)=$B$20-$B$30),1,0)</f>
        <v>0</v>
      </c>
      <c r="C135" s="2" t="s">
        <v>317</v>
      </c>
      <c r="D135" s="2" t="s">
        <v>324</v>
      </c>
    </row>
    <row r="136" spans="1:4" x14ac:dyDescent="0.3">
      <c r="A136" s="21" t="s">
        <v>330</v>
      </c>
      <c r="B136" s="74">
        <f>IF($B$47&gt;$B$51+$B$50,1,0)</f>
        <v>1</v>
      </c>
      <c r="C136" s="2"/>
      <c r="D136" s="2" t="s">
        <v>331</v>
      </c>
    </row>
    <row r="137" spans="1:4" x14ac:dyDescent="0.3">
      <c r="A137" s="21" t="s">
        <v>332</v>
      </c>
      <c r="B137" s="74">
        <f>MIN($B$126,$B$131)</f>
        <v>2</v>
      </c>
      <c r="C137" s="2" t="s">
        <v>317</v>
      </c>
      <c r="D137" s="2" t="s">
        <v>333</v>
      </c>
    </row>
    <row r="138" spans="1:4" x14ac:dyDescent="0.3">
      <c r="A138" s="21" t="s">
        <v>334</v>
      </c>
      <c r="B138" s="74">
        <f>MAX($B$126,$B$131)</f>
        <v>2</v>
      </c>
      <c r="C138" s="2" t="s">
        <v>317</v>
      </c>
      <c r="D138" s="2"/>
    </row>
    <row r="139" spans="1:4" x14ac:dyDescent="0.3">
      <c r="A139" s="21" t="s">
        <v>335</v>
      </c>
      <c r="B139" s="74">
        <f>$B$137*($B$128+$B$136+$B$132)+($B$126-$B$137)*($B$128+$B$127)+($B$131-$B$137)*($B$133+$B$132)</f>
        <v>4</v>
      </c>
      <c r="C139" s="2" t="s">
        <v>317</v>
      </c>
      <c r="D139" s="2" t="s">
        <v>336</v>
      </c>
    </row>
    <row r="140" spans="1:4" x14ac:dyDescent="0.3">
      <c r="A140" s="21" t="s">
        <v>337</v>
      </c>
      <c r="B140" s="81">
        <f>($B$137*($B$128*$B$51+$B$136*($B$47-$B$51-$B$50)+$B$132*($B$20-$B$47-$B$46))+($B$126-$B$137)*($B$128*$B$51+$B$127*($B$20-$B$51-$B$50))+($B$131-$B$137)*($B$133*$B$47+$B$132*($B$20-$B$47-$B$46)))/12</f>
        <v>7</v>
      </c>
      <c r="C140" s="2" t="s">
        <v>338</v>
      </c>
      <c r="D140" s="2"/>
    </row>
    <row r="141" spans="1:4" x14ac:dyDescent="0.3">
      <c r="A141" s="21" t="s">
        <v>339</v>
      </c>
      <c r="B141" s="74">
        <f>IF($B$49=$B$45,2,4)</f>
        <v>4</v>
      </c>
      <c r="C141" s="2" t="s">
        <v>317</v>
      </c>
      <c r="D141" s="2" t="s">
        <v>340</v>
      </c>
    </row>
    <row r="142" spans="1:4" x14ac:dyDescent="0.3">
      <c r="A142" s="21" t="s">
        <v>341</v>
      </c>
      <c r="B142" s="74">
        <f>$B$127+$B$128+$B$132+$B$133</f>
        <v>3</v>
      </c>
      <c r="C142" s="2" t="s">
        <v>317</v>
      </c>
      <c r="D142" s="2"/>
    </row>
    <row r="143" spans="1:4" x14ac:dyDescent="0.3">
      <c r="A143" s="21" t="s">
        <v>342</v>
      </c>
      <c r="B143" s="82">
        <f>(($B$127+$B$128)*($B$49+2*$B$28)+($B$132+$B$133)*($B$45+2*$B$28))/12</f>
        <v>10.479166666666666</v>
      </c>
      <c r="C143" s="2" t="s">
        <v>338</v>
      </c>
      <c r="D143" s="2" t="s">
        <v>343</v>
      </c>
    </row>
    <row r="144" spans="1:4" x14ac:dyDescent="0.3">
      <c r="A144" s="21" t="s">
        <v>344</v>
      </c>
      <c r="B144" s="74">
        <f>$B$124*($B$122-$B$138+$B$141)+($B$126-$B$137)*($B$124-$B$129+$B$130)+($B$131-$B$137)*($B$124-$B$134+$B$135)+$B$137*($B$124-$B$129-$B$134+($B$128*IF(OR(AND(($B$51)&gt;=$B$30,($B$51)&lt;=$B$20-$B$30,MOD(($B$51)-$B$30,$B$29)=0),($B$51)=$B$20-$B$30),1,0)+$B$136*(IF(OR(AND(($B$51+$B$50)&gt;=$B$30,($B$51+$B$50)&lt;=$B$20-$B$30,MOD(($B$51+$B$50)-$B$30,$B$29)=0),($B$51+$B$50)=$B$20-$B$30),1,0)+IF(OR(AND(($B$47)&gt;=$B$30,($B$47)&lt;=$B$20-$B$30,MOD(($B$47)-$B$30,$B$29)=0),($B$47)=$B$20-$B$30),1,0))+$B$132*IF(OR(AND(($B$47+$B$46)&gt;=$B$30,($B$47+$B$46)&lt;=$B$20-$B$30,MOD(($B$47+$B$46)-$B$30,$B$29)=0),($B$47+$B$46)=$B$20-$B$30),1,0)))</f>
        <v>26</v>
      </c>
      <c r="C144" s="2" t="s">
        <v>317</v>
      </c>
      <c r="D144" s="2" t="s">
        <v>345</v>
      </c>
    </row>
    <row r="145" spans="1:4" x14ac:dyDescent="0.3">
      <c r="A145" s="21" t="s">
        <v>346</v>
      </c>
      <c r="B145" s="81">
        <f>($B$124*$B$18-$B$129*$B$49-$B$134*$B$45)/12</f>
        <v>6.666666666666667</v>
      </c>
      <c r="C145" s="2" t="s">
        <v>338</v>
      </c>
      <c r="D145" s="2"/>
    </row>
    <row r="146" spans="1:4" x14ac:dyDescent="0.3">
      <c r="A146" s="21" t="s">
        <v>347</v>
      </c>
      <c r="B146" s="74">
        <f>$B$122-$B$138+$B$141+$B$139</f>
        <v>10</v>
      </c>
      <c r="C146" s="2" t="s">
        <v>317</v>
      </c>
      <c r="D146" s="2" t="s">
        <v>140</v>
      </c>
    </row>
    <row r="147" spans="1:4" x14ac:dyDescent="0.3">
      <c r="A147" s="21" t="s">
        <v>348</v>
      </c>
      <c r="B147" s="74">
        <f>$B$122-$B$138+$B$141</f>
        <v>6</v>
      </c>
      <c r="C147" s="2" t="s">
        <v>317</v>
      </c>
      <c r="D147" s="2"/>
    </row>
    <row r="148" spans="1:4" x14ac:dyDescent="0.3">
      <c r="A148" s="21" t="s">
        <v>349</v>
      </c>
      <c r="B148" s="82">
        <f>($B$20-$B$39)/12</f>
        <v>8.5</v>
      </c>
      <c r="C148" s="2" t="s">
        <v>299</v>
      </c>
      <c r="D148" s="2" t="s">
        <v>350</v>
      </c>
    </row>
    <row r="149" spans="1:4" x14ac:dyDescent="0.3">
      <c r="A149" s="6" t="s">
        <v>351</v>
      </c>
    </row>
    <row r="150" spans="1:4" x14ac:dyDescent="0.3">
      <c r="A150" s="21" t="s">
        <v>352</v>
      </c>
      <c r="B150" s="74">
        <f>MAX(0,MIN(ROUNDUP((($B$18+$B$53)/2)/$B$27,0)-1,$B$121-1)-MAX(INT(((($B$18-$B$53)/2)-$B$28)/$B$27)+1,0)+1)</f>
        <v>2</v>
      </c>
      <c r="C150" s="2" t="s">
        <v>317</v>
      </c>
      <c r="D150" s="2" t="s">
        <v>318</v>
      </c>
    </row>
    <row r="151" spans="1:4" x14ac:dyDescent="0.3">
      <c r="A151" s="21" t="s">
        <v>353</v>
      </c>
      <c r="B151" s="74">
        <f>IF($B$55+$B$54&lt;$B$20,1,0)</f>
        <v>1</v>
      </c>
      <c r="C151" s="2"/>
      <c r="D151" s="2"/>
    </row>
    <row r="152" spans="1:4" x14ac:dyDescent="0.3">
      <c r="A152" s="21" t="s">
        <v>354</v>
      </c>
      <c r="B152" s="74">
        <f>IF($B$55&gt;0,1,0)</f>
        <v>1</v>
      </c>
      <c r="C152" s="2"/>
      <c r="D152" s="2"/>
    </row>
    <row r="153" spans="1:4" x14ac:dyDescent="0.3">
      <c r="A153" s="21" t="s">
        <v>355</v>
      </c>
      <c r="B153" s="74">
        <f>MAX(0,MIN($B$124-2,INT(($B$55+$B$54-$B$30)/$B$29))-MAX(0,ROUNDUP(($B$55-$B$30)/$B$29,0))+1)+IF(AND($B$20-$B$30&gt;=$B$55,$B$20-$B$30&lt;=$B$55+$B$54),1,0)</f>
        <v>1</v>
      </c>
      <c r="C153" s="2" t="s">
        <v>317</v>
      </c>
      <c r="D153" s="2" t="s">
        <v>322</v>
      </c>
    </row>
    <row r="154" spans="1:4" x14ac:dyDescent="0.3">
      <c r="A154" s="21" t="s">
        <v>356</v>
      </c>
      <c r="B154" s="74">
        <f>$B$152*IF(OR(AND(($B$55)&gt;=$B$30,($B$55)&lt;=$B$20-$B$30,MOD(($B$55)-$B$30,$B$29)=0),($B$55)=$B$20-$B$30),1,0)+$B$151*IF(OR(AND(($B$55+$B$54)&gt;=$B$30,($B$55+$B$54)&lt;=$B$20-$B$30,MOD(($B$55+$B$54)-$B$30,$B$29)=0),($B$55+$B$54)=$B$20-$B$30),1,0)</f>
        <v>0</v>
      </c>
      <c r="C154" s="2" t="s">
        <v>317</v>
      </c>
      <c r="D154" s="2" t="s">
        <v>324</v>
      </c>
    </row>
    <row r="155" spans="1:4" x14ac:dyDescent="0.3">
      <c r="A155" s="21" t="s">
        <v>325</v>
      </c>
      <c r="B155" s="74">
        <f>MAX(0,MIN(ROUNDUP((($B$18+$B$45)/2)/$B$27,0)-1,$B$121-1)-MAX(INT(((($B$18-$B$45)/2)-$B$28)/$B$27)+1,0)+1)</f>
        <v>2</v>
      </c>
      <c r="C155" s="2" t="s">
        <v>317</v>
      </c>
      <c r="D155" s="2" t="s">
        <v>318</v>
      </c>
    </row>
    <row r="156" spans="1:4" x14ac:dyDescent="0.3">
      <c r="A156" s="21" t="s">
        <v>326</v>
      </c>
      <c r="B156" s="74">
        <f>IF($B$47+$B$46&lt;$B$20,1,0)</f>
        <v>1</v>
      </c>
      <c r="C156" s="2"/>
      <c r="D156" s="2"/>
    </row>
    <row r="157" spans="1:4" x14ac:dyDescent="0.3">
      <c r="A157" s="21" t="s">
        <v>327</v>
      </c>
      <c r="B157" s="74">
        <f>IF($B$47&gt;0,1,0)</f>
        <v>1</v>
      </c>
      <c r="C157" s="2"/>
      <c r="D157" s="2"/>
    </row>
    <row r="158" spans="1:4" x14ac:dyDescent="0.3">
      <c r="A158" s="21" t="s">
        <v>328</v>
      </c>
      <c r="B158" s="74">
        <f>MAX(0,MIN($B$124-2,INT(($B$47+$B$46-$B$30)/$B$29))-MAX(0,ROUNDUP(($B$47-$B$30)/$B$29,0))+1)+IF(AND($B$20-$B$30&gt;=$B$47,$B$20-$B$30&lt;=$B$47+$B$46),1,0)</f>
        <v>1</v>
      </c>
      <c r="C158" s="2" t="s">
        <v>317</v>
      </c>
      <c r="D158" s="2" t="s">
        <v>322</v>
      </c>
    </row>
    <row r="159" spans="1:4" x14ac:dyDescent="0.3">
      <c r="A159" s="21" t="s">
        <v>329</v>
      </c>
      <c r="B159" s="74">
        <f>$B$157*IF(OR(AND(($B$47)&gt;=$B$30,($B$47)&lt;=$B$20-$B$30,MOD(($B$47)-$B$30,$B$29)=0),($B$47)=$B$20-$B$30),1,0)+$B$156*IF(OR(AND(($B$47+$B$46)&gt;=$B$30,($B$47+$B$46)&lt;=$B$20-$B$30,MOD(($B$47+$B$46)-$B$30,$B$29)=0),($B$47+$B$46)=$B$20-$B$30),1,0)</f>
        <v>0</v>
      </c>
      <c r="C159" s="2" t="s">
        <v>317</v>
      </c>
      <c r="D159" s="2" t="s">
        <v>324</v>
      </c>
    </row>
    <row r="160" spans="1:4" x14ac:dyDescent="0.3">
      <c r="A160" s="21" t="s">
        <v>330</v>
      </c>
      <c r="B160" s="74">
        <f>IF($B$47&gt;$B$55+$B$54,1,0)</f>
        <v>1</v>
      </c>
      <c r="C160" s="2"/>
      <c r="D160" s="2" t="s">
        <v>331</v>
      </c>
    </row>
    <row r="161" spans="1:4" x14ac:dyDescent="0.3">
      <c r="A161" s="21" t="s">
        <v>332</v>
      </c>
      <c r="B161" s="74">
        <f>MIN($B$150,$B$155)</f>
        <v>2</v>
      </c>
      <c r="C161" s="2" t="s">
        <v>317</v>
      </c>
      <c r="D161" s="2" t="s">
        <v>333</v>
      </c>
    </row>
    <row r="162" spans="1:4" x14ac:dyDescent="0.3">
      <c r="A162" s="21" t="s">
        <v>334</v>
      </c>
      <c r="B162" s="74">
        <f>MAX($B$150,$B$155)</f>
        <v>2</v>
      </c>
      <c r="C162" s="2" t="s">
        <v>317</v>
      </c>
      <c r="D162" s="2"/>
    </row>
    <row r="163" spans="1:4" x14ac:dyDescent="0.3">
      <c r="A163" s="21" t="s">
        <v>335</v>
      </c>
      <c r="B163" s="74">
        <f>$B$161*($B$152+$B$160+$B$156)+($B$150-$B$161)*($B$152+$B$151)+($B$155-$B$161)*($B$157+$B$156)</f>
        <v>6</v>
      </c>
      <c r="C163" s="2" t="s">
        <v>317</v>
      </c>
      <c r="D163" s="2" t="s">
        <v>336</v>
      </c>
    </row>
    <row r="164" spans="1:4" x14ac:dyDescent="0.3">
      <c r="A164" s="21" t="s">
        <v>337</v>
      </c>
      <c r="B164" s="81">
        <f>($B$161*($B$152*$B$55+$B$160*($B$47-$B$55-$B$54)+$B$156*($B$20-$B$47-$B$46))+($B$150-$B$161)*($B$152*$B$55+$B$151*($B$20-$B$55-$B$54))+($B$155-$B$161)*($B$157*$B$47+$B$156*($B$20-$B$47-$B$46)))/12</f>
        <v>9</v>
      </c>
      <c r="C164" s="2" t="s">
        <v>338</v>
      </c>
      <c r="D164" s="2"/>
    </row>
    <row r="165" spans="1:4" x14ac:dyDescent="0.3">
      <c r="A165" s="21" t="s">
        <v>339</v>
      </c>
      <c r="B165" s="74">
        <f>IF($B$53=$B$45,2,4)</f>
        <v>2</v>
      </c>
      <c r="C165" s="2" t="s">
        <v>317</v>
      </c>
      <c r="D165" s="2" t="s">
        <v>340</v>
      </c>
    </row>
    <row r="166" spans="1:4" x14ac:dyDescent="0.3">
      <c r="A166" s="21" t="s">
        <v>341</v>
      </c>
      <c r="B166" s="74">
        <f>$B$151+$B$152+$B$156+$B$157</f>
        <v>4</v>
      </c>
      <c r="C166" s="2" t="s">
        <v>317</v>
      </c>
      <c r="D166" s="2"/>
    </row>
    <row r="167" spans="1:4" x14ac:dyDescent="0.3">
      <c r="A167" s="21" t="s">
        <v>342</v>
      </c>
      <c r="B167" s="82">
        <f>(($B$151+$B$152)*($B$53+2*$B$28)+($B$156+$B$157)*($B$45+2*$B$28))/12</f>
        <v>14.416666666666666</v>
      </c>
      <c r="C167" s="2" t="s">
        <v>338</v>
      </c>
      <c r="D167" s="2" t="s">
        <v>343</v>
      </c>
    </row>
    <row r="168" spans="1:4" x14ac:dyDescent="0.3">
      <c r="A168" s="21" t="s">
        <v>344</v>
      </c>
      <c r="B168" s="74">
        <f>$B$124*($B$122-$B$162+$B$165)+($B$150-$B$161)*($B$124-$B$153+$B$154)+($B$155-$B$161)*($B$124-$B$158+$B$159)+$B$161*($B$124-$B$153-$B$158+($B$152*IF(OR(AND(($B$55)&gt;=$B$30,($B$55)&lt;=$B$20-$B$30,MOD(($B$55)-$B$30,$B$29)=0),($B$55)=$B$20-$B$30),1,0)+$B$160*(IF(OR(AND(($B$55+$B$54)&gt;=$B$30,($B$55+$B$54)&lt;=$B$20-$B$30,MOD(($B$55+$B$54)-$B$30,$B$29)=0),($B$55+$B$54)=$B$20-$B$30),1,0)+IF(OR(AND(($B$47)&gt;=$B$30,($B$47)&lt;=$B$20-$B$30,MOD(($B$47)-$B$30,$B$29)=0),($B$47)=$B$20-$B$30),1,0))+$B$156*IF(OR(AND(($B$47+$B$46)&gt;=$B$30,($B$47+$B$46)&lt;=$B$20-$B$30,MOD(($B$47+$B$46)-$B$30,$B$29)=0),($B$47+$B$46)=$B$20-$B$30),1,0)))</f>
        <v>20</v>
      </c>
      <c r="C168" s="2" t="s">
        <v>317</v>
      </c>
      <c r="D168" s="2" t="s">
        <v>345</v>
      </c>
    </row>
    <row r="169" spans="1:4" x14ac:dyDescent="0.3">
      <c r="A169" s="21" t="s">
        <v>346</v>
      </c>
      <c r="B169" s="81">
        <f>($B$124*$B$18-$B$153*$B$53-$B$158*$B$45)/12</f>
        <v>9.3333333333333339</v>
      </c>
      <c r="C169" s="2" t="s">
        <v>338</v>
      </c>
      <c r="D169" s="2"/>
    </row>
    <row r="170" spans="1:4" x14ac:dyDescent="0.3">
      <c r="A170" s="21" t="s">
        <v>347</v>
      </c>
      <c r="B170" s="74">
        <f>$B$122-$B$162+$B$165+$B$163</f>
        <v>10</v>
      </c>
      <c r="C170" s="2" t="s">
        <v>317</v>
      </c>
      <c r="D170" s="2" t="s">
        <v>140</v>
      </c>
    </row>
    <row r="171" spans="1:4" x14ac:dyDescent="0.3">
      <c r="A171" s="21" t="s">
        <v>348</v>
      </c>
      <c r="B171" s="74">
        <f>$B$122-$B$162+$B$165</f>
        <v>4</v>
      </c>
      <c r="C171" s="2" t="s">
        <v>317</v>
      </c>
      <c r="D171" s="2"/>
    </row>
    <row r="172" spans="1:4" x14ac:dyDescent="0.3">
      <c r="A172" s="21" t="s">
        <v>349</v>
      </c>
      <c r="B172" s="82">
        <f>(IF($B$55&gt;$B$38,$B$55-$B$38,$B$20-$B$38))/12</f>
        <v>0.66666666666666663</v>
      </c>
      <c r="C172" s="2" t="s">
        <v>299</v>
      </c>
      <c r="D172" s="2" t="s">
        <v>350</v>
      </c>
    </row>
    <row r="173" spans="1:4" x14ac:dyDescent="0.3">
      <c r="A173" s="6" t="s">
        <v>357</v>
      </c>
    </row>
    <row r="174" spans="1:4" x14ac:dyDescent="0.3">
      <c r="A174" s="21" t="s">
        <v>352</v>
      </c>
      <c r="B174" s="74">
        <f>MAX(0,MIN(ROUNDUP((($B$18+$B$57)/2)/$B$27,0)-1,$B$121-1)-MAX(INT(((($B$18-$B$57)/2)-$B$28)/$B$27)+1,0)+1)</f>
        <v>2</v>
      </c>
      <c r="C174" s="2" t="s">
        <v>317</v>
      </c>
      <c r="D174" s="2" t="s">
        <v>318</v>
      </c>
    </row>
    <row r="175" spans="1:4" x14ac:dyDescent="0.3">
      <c r="A175" s="21" t="s">
        <v>353</v>
      </c>
      <c r="B175" s="74">
        <f>IF($B$59+$B$58&lt;$B$19,1,0)</f>
        <v>1</v>
      </c>
      <c r="C175" s="2"/>
      <c r="D175" s="2"/>
    </row>
    <row r="176" spans="1:4" x14ac:dyDescent="0.3">
      <c r="A176" s="21" t="s">
        <v>354</v>
      </c>
      <c r="B176" s="74">
        <f>IF($B$59&gt;0,1,0)</f>
        <v>1</v>
      </c>
      <c r="C176" s="2"/>
      <c r="D176" s="2"/>
    </row>
    <row r="177" spans="1:4" x14ac:dyDescent="0.3">
      <c r="A177" s="21" t="s">
        <v>355</v>
      </c>
      <c r="B177" s="74">
        <f>MAX(0,MIN($B$123-2,INT(($B$59+$B$58-$B$30)/$B$29))-MAX(0,ROUNDUP(($B$59-$B$30)/$B$29,0))+1)+IF(AND($B$19-$B$30&gt;=$B$59,$B$19-$B$30&lt;=$B$59+$B$58),1,0)</f>
        <v>1</v>
      </c>
      <c r="C177" s="2" t="s">
        <v>317</v>
      </c>
      <c r="D177" s="2" t="s">
        <v>322</v>
      </c>
    </row>
    <row r="178" spans="1:4" x14ac:dyDescent="0.3">
      <c r="A178" s="21" t="s">
        <v>356</v>
      </c>
      <c r="B178" s="74">
        <f>$B$176*IF(OR(AND(($B$59)&gt;=$B$30,($B$59)&lt;=$B$19-$B$30,MOD(($B$59)-$B$30,$B$29)=0),($B$59)=$B$19-$B$30),1,0)+$B$175*IF(OR(AND(($B$59+$B$58)&gt;=$B$30,($B$59+$B$58)&lt;=$B$19-$B$30,MOD(($B$59+$B$58)-$B$30,$B$29)=0),($B$59+$B$58)=$B$19-$B$30),1,0)</f>
        <v>0</v>
      </c>
      <c r="C178" s="2" t="s">
        <v>317</v>
      </c>
      <c r="D178" s="2" t="s">
        <v>324</v>
      </c>
    </row>
    <row r="179" spans="1:4" x14ac:dyDescent="0.3">
      <c r="A179" s="21" t="s">
        <v>358</v>
      </c>
      <c r="B179" s="74">
        <f>$B$174</f>
        <v>2</v>
      </c>
      <c r="C179" s="2" t="s">
        <v>317</v>
      </c>
      <c r="D179" s="2"/>
    </row>
    <row r="180" spans="1:4" x14ac:dyDescent="0.3">
      <c r="A180" s="21" t="s">
        <v>335</v>
      </c>
      <c r="B180" s="74">
        <f>$B$174*($B$175+$B$176)</f>
        <v>4</v>
      </c>
      <c r="C180" s="2" t="s">
        <v>317</v>
      </c>
      <c r="D180" s="2"/>
    </row>
    <row r="181" spans="1:4" x14ac:dyDescent="0.3">
      <c r="A181" s="21" t="s">
        <v>337</v>
      </c>
      <c r="B181" s="81">
        <f>$B$174*($B$176*$B$59+$B$175*($B$19-$B$59-$B$58))/12</f>
        <v>12</v>
      </c>
      <c r="C181" s="2" t="s">
        <v>338</v>
      </c>
      <c r="D181" s="2" t="s">
        <v>359</v>
      </c>
    </row>
    <row r="182" spans="1:4" x14ac:dyDescent="0.3">
      <c r="A182" s="21" t="s">
        <v>339</v>
      </c>
      <c r="B182" s="74">
        <f>2</f>
        <v>2</v>
      </c>
      <c r="C182" s="2" t="s">
        <v>317</v>
      </c>
      <c r="D182" s="2"/>
    </row>
    <row r="183" spans="1:4" x14ac:dyDescent="0.3">
      <c r="A183" s="21" t="s">
        <v>341</v>
      </c>
      <c r="B183" s="74">
        <f>$B$175+$B$176</f>
        <v>2</v>
      </c>
      <c r="C183" s="2" t="s">
        <v>317</v>
      </c>
      <c r="D183" s="2"/>
    </row>
    <row r="184" spans="1:4" x14ac:dyDescent="0.3">
      <c r="A184" s="21" t="s">
        <v>342</v>
      </c>
      <c r="B184" s="82">
        <f>($B$175+$B$176)*($B$57+2*$B$28)/12</f>
        <v>6.541666666666667</v>
      </c>
      <c r="C184" s="2" t="s">
        <v>338</v>
      </c>
      <c r="D184" s="2" t="s">
        <v>343</v>
      </c>
    </row>
    <row r="185" spans="1:4" x14ac:dyDescent="0.3">
      <c r="A185" s="21" t="s">
        <v>344</v>
      </c>
      <c r="B185" s="74">
        <f>$B$123*($B$122-$B$174+2)+$B$174*($B$123-$B$177+$B$178)</f>
        <v>16</v>
      </c>
      <c r="C185" s="2" t="s">
        <v>317</v>
      </c>
      <c r="D185" s="2" t="s">
        <v>360</v>
      </c>
    </row>
    <row r="186" spans="1:4" x14ac:dyDescent="0.3">
      <c r="A186" s="21" t="s">
        <v>346</v>
      </c>
      <c r="B186" s="81">
        <f>($B$123*$B$18-$B$177*$B$57)/12</f>
        <v>9</v>
      </c>
      <c r="C186" s="2" t="s">
        <v>338</v>
      </c>
      <c r="D186" s="2"/>
    </row>
    <row r="187" spans="1:4" x14ac:dyDescent="0.3">
      <c r="A187" s="21" t="s">
        <v>347</v>
      </c>
      <c r="B187" s="74">
        <f>$B$122-$B$179+$B$182+$B$180</f>
        <v>8</v>
      </c>
      <c r="C187" s="2" t="s">
        <v>317</v>
      </c>
      <c r="D187" s="2" t="s">
        <v>140</v>
      </c>
    </row>
    <row r="188" spans="1:4" x14ac:dyDescent="0.3">
      <c r="A188" s="21" t="s">
        <v>348</v>
      </c>
      <c r="B188" s="74">
        <f>$B$122-$B$179+$B$182</f>
        <v>4</v>
      </c>
      <c r="C188" s="2" t="s">
        <v>317</v>
      </c>
      <c r="D188" s="2"/>
    </row>
    <row r="189" spans="1:4" x14ac:dyDescent="0.3">
      <c r="A189" s="21" t="s">
        <v>349</v>
      </c>
      <c r="B189" s="82">
        <f>(IF($B$59&gt;$B$38,$B$59-$B$38,$B$19-$B$38))/12</f>
        <v>2.1666666666666665</v>
      </c>
      <c r="C189" s="2" t="s">
        <v>299</v>
      </c>
      <c r="D189" s="2" t="s">
        <v>350</v>
      </c>
    </row>
    <row r="190" spans="1:4" x14ac:dyDescent="0.3">
      <c r="A190" s="6" t="s">
        <v>361</v>
      </c>
    </row>
    <row r="191" spans="1:4" x14ac:dyDescent="0.3">
      <c r="A191" s="21" t="s">
        <v>352</v>
      </c>
      <c r="B191" s="74">
        <f>MAX(0,MIN(ROUNDUP((($B$18+$B$61)/2)/$B$27,0)-1,$B$121-1)-MAX(INT(((($B$18-$B$61)/2)-$B$28)/$B$27)+1,0)+1)</f>
        <v>2</v>
      </c>
      <c r="C191" s="2" t="s">
        <v>317</v>
      </c>
      <c r="D191" s="2" t="s">
        <v>318</v>
      </c>
    </row>
    <row r="192" spans="1:4" x14ac:dyDescent="0.3">
      <c r="A192" s="21" t="s">
        <v>353</v>
      </c>
      <c r="B192" s="74">
        <f>IF($B$63+$B$62&lt;$B$19,1,0)</f>
        <v>1</v>
      </c>
      <c r="C192" s="2"/>
      <c r="D192" s="2"/>
    </row>
    <row r="193" spans="1:4" x14ac:dyDescent="0.3">
      <c r="A193" s="21" t="s">
        <v>354</v>
      </c>
      <c r="B193" s="74">
        <f>IF($B$63&gt;0,1,0)</f>
        <v>1</v>
      </c>
      <c r="C193" s="2"/>
      <c r="D193" s="2"/>
    </row>
    <row r="194" spans="1:4" x14ac:dyDescent="0.3">
      <c r="A194" s="21" t="s">
        <v>355</v>
      </c>
      <c r="B194" s="74">
        <f>MAX(0,MIN($B$123-2,INT(($B$63+$B$62-$B$30)/$B$29))-MAX(0,ROUNDUP(($B$63-$B$30)/$B$29,0))+1)+IF(AND($B$19-$B$30&gt;=$B$63,$B$19-$B$30&lt;=$B$63+$B$62),1,0)</f>
        <v>1</v>
      </c>
      <c r="C194" s="2" t="s">
        <v>317</v>
      </c>
      <c r="D194" s="2" t="s">
        <v>322</v>
      </c>
    </row>
    <row r="195" spans="1:4" x14ac:dyDescent="0.3">
      <c r="A195" s="21" t="s">
        <v>356</v>
      </c>
      <c r="B195" s="74">
        <f>$B$193*IF(OR(AND(($B$63)&gt;=$B$30,($B$63)&lt;=$B$19-$B$30,MOD(($B$63)-$B$30,$B$29)=0),($B$63)=$B$19-$B$30),1,0)+$B$192*IF(OR(AND(($B$63+$B$62)&gt;=$B$30,($B$63+$B$62)&lt;=$B$19-$B$30,MOD(($B$63+$B$62)-$B$30,$B$29)=0),($B$63+$B$62)=$B$19-$B$30),1,0)</f>
        <v>1</v>
      </c>
      <c r="C195" s="2" t="s">
        <v>317</v>
      </c>
      <c r="D195" s="2" t="s">
        <v>324</v>
      </c>
    </row>
    <row r="196" spans="1:4" x14ac:dyDescent="0.3">
      <c r="A196" s="21" t="s">
        <v>358</v>
      </c>
      <c r="B196" s="74">
        <f>$B$191</f>
        <v>2</v>
      </c>
      <c r="C196" s="2" t="s">
        <v>317</v>
      </c>
      <c r="D196" s="2"/>
    </row>
    <row r="197" spans="1:4" x14ac:dyDescent="0.3">
      <c r="A197" s="21" t="s">
        <v>335</v>
      </c>
      <c r="B197" s="74">
        <f>$B$191*($B$192+$B$193)</f>
        <v>4</v>
      </c>
      <c r="C197" s="2" t="s">
        <v>317</v>
      </c>
      <c r="D197" s="2"/>
    </row>
    <row r="198" spans="1:4" x14ac:dyDescent="0.3">
      <c r="A198" s="21" t="s">
        <v>337</v>
      </c>
      <c r="B198" s="81">
        <f>$B$191*($B$193*$B$63+$B$192*($B$19-$B$63-$B$62))/12</f>
        <v>16</v>
      </c>
      <c r="C198" s="2" t="s">
        <v>338</v>
      </c>
      <c r="D198" s="2" t="s">
        <v>359</v>
      </c>
    </row>
    <row r="199" spans="1:4" x14ac:dyDescent="0.3">
      <c r="A199" s="21" t="s">
        <v>339</v>
      </c>
      <c r="B199" s="74">
        <f>2</f>
        <v>2</v>
      </c>
      <c r="C199" s="2" t="s">
        <v>317</v>
      </c>
      <c r="D199" s="2"/>
    </row>
    <row r="200" spans="1:4" x14ac:dyDescent="0.3">
      <c r="A200" s="21" t="s">
        <v>341</v>
      </c>
      <c r="B200" s="74">
        <f>$B$192+$B$193</f>
        <v>2</v>
      </c>
      <c r="C200" s="2" t="s">
        <v>317</v>
      </c>
      <c r="D200" s="2"/>
    </row>
    <row r="201" spans="1:4" x14ac:dyDescent="0.3">
      <c r="A201" s="21" t="s">
        <v>342</v>
      </c>
      <c r="B201" s="82">
        <f>($B$192+$B$193)*($B$61+2*$B$28)/12</f>
        <v>4.541666666666667</v>
      </c>
      <c r="C201" s="2" t="s">
        <v>338</v>
      </c>
      <c r="D201" s="2" t="s">
        <v>343</v>
      </c>
    </row>
    <row r="202" spans="1:4" x14ac:dyDescent="0.3">
      <c r="A202" s="21" t="s">
        <v>344</v>
      </c>
      <c r="B202" s="74">
        <f>$B$123*($B$122-$B$191+2)+$B$191*($B$123-$B$194+$B$195)</f>
        <v>18</v>
      </c>
      <c r="C202" s="2" t="s">
        <v>317</v>
      </c>
      <c r="D202" s="2" t="s">
        <v>360</v>
      </c>
    </row>
    <row r="203" spans="1:4" x14ac:dyDescent="0.3">
      <c r="A203" s="21" t="s">
        <v>346</v>
      </c>
      <c r="B203" s="81">
        <f>($B$123*$B$18-$B$194*$B$61)/12</f>
        <v>10</v>
      </c>
      <c r="C203" s="2" t="s">
        <v>338</v>
      </c>
      <c r="D203" s="2"/>
    </row>
    <row r="204" spans="1:4" x14ac:dyDescent="0.3">
      <c r="A204" s="21" t="s">
        <v>347</v>
      </c>
      <c r="B204" s="74">
        <f>$B$122-$B$196+$B$199+$B$197</f>
        <v>8</v>
      </c>
      <c r="C204" s="2" t="s">
        <v>317</v>
      </c>
      <c r="D204" s="2" t="s">
        <v>140</v>
      </c>
    </row>
    <row r="205" spans="1:4" x14ac:dyDescent="0.3">
      <c r="A205" s="21" t="s">
        <v>348</v>
      </c>
      <c r="B205" s="74">
        <f>$B$122-$B$196+$B$199</f>
        <v>4</v>
      </c>
      <c r="C205" s="2" t="s">
        <v>317</v>
      </c>
      <c r="D205" s="2"/>
    </row>
    <row r="206" spans="1:4" x14ac:dyDescent="0.3">
      <c r="A206" s="21" t="s">
        <v>349</v>
      </c>
      <c r="B206" s="82">
        <f>(IF($B$63&gt;$B$38,$B$63-$B$38,$B$19-$B$38))/12</f>
        <v>3.6666666666666665</v>
      </c>
      <c r="C206" s="2" t="s">
        <v>299</v>
      </c>
      <c r="D206" s="2" t="s">
        <v>350</v>
      </c>
    </row>
    <row r="207" spans="1:4" x14ac:dyDescent="0.3">
      <c r="A207" s="6" t="s">
        <v>362</v>
      </c>
    </row>
    <row r="208" spans="1:4" x14ac:dyDescent="0.3">
      <c r="A208" s="21" t="s">
        <v>316</v>
      </c>
      <c r="B208" s="74">
        <f>MAX(0,MIN(ROUNDUP((($B$18+$B$65)/2)/$B$27,0)-1,$B$121-1)-MAX(INT(((($B$18-$B$65)/2)-$B$28)/$B$27)+1,0)+1)</f>
        <v>2</v>
      </c>
      <c r="C208" s="2" t="s">
        <v>317</v>
      </c>
      <c r="D208" s="2" t="s">
        <v>318</v>
      </c>
    </row>
    <row r="209" spans="1:4" x14ac:dyDescent="0.3">
      <c r="A209" s="21" t="s">
        <v>319</v>
      </c>
      <c r="B209" s="74">
        <f>IF($B$67+$B$66&lt;$B$20,1,0)</f>
        <v>1</v>
      </c>
      <c r="C209" s="2"/>
      <c r="D209" s="2"/>
    </row>
    <row r="210" spans="1:4" x14ac:dyDescent="0.3">
      <c r="A210" s="21" t="s">
        <v>320</v>
      </c>
      <c r="B210" s="74">
        <f>IF($B$67&gt;0,1,0)</f>
        <v>0</v>
      </c>
      <c r="C210" s="2"/>
      <c r="D210" s="2"/>
    </row>
    <row r="211" spans="1:4" x14ac:dyDescent="0.3">
      <c r="A211" s="21" t="s">
        <v>321</v>
      </c>
      <c r="B211" s="74">
        <f>MAX(0,MIN($B$124-2,INT(($B$67+$B$66-$B$30)/$B$29))-MAX(0,ROUNDUP(($B$67-$B$30)/$B$29,0))+1)+IF(AND($B$20-$B$30&gt;=$B$67,$B$20-$B$30&lt;=$B$67+$B$66),1,0)</f>
        <v>2</v>
      </c>
      <c r="C211" s="2" t="s">
        <v>317</v>
      </c>
      <c r="D211" s="2" t="s">
        <v>322</v>
      </c>
    </row>
    <row r="212" spans="1:4" x14ac:dyDescent="0.3">
      <c r="A212" s="21" t="s">
        <v>323</v>
      </c>
      <c r="B212" s="74">
        <f>$B$210*IF(OR(AND(($B$67)&gt;=$B$30,($B$67)&lt;=$B$20-$B$30,MOD(($B$67)-$B$30,$B$29)=0),($B$67)=$B$20-$B$30),1,0)+$B$209*IF(OR(AND(($B$67+$B$66)&gt;=$B$30,($B$67+$B$66)&lt;=$B$20-$B$30,MOD(($B$67+$B$66)-$B$30,$B$29)=0),($B$67+$B$66)=$B$20-$B$30),1,0)</f>
        <v>0</v>
      </c>
      <c r="C212" s="2" t="s">
        <v>317</v>
      </c>
      <c r="D212" s="2" t="s">
        <v>324</v>
      </c>
    </row>
    <row r="213" spans="1:4" x14ac:dyDescent="0.3">
      <c r="A213" s="21" t="s">
        <v>358</v>
      </c>
      <c r="B213" s="74">
        <f>$B$208</f>
        <v>2</v>
      </c>
      <c r="C213" s="2" t="s">
        <v>317</v>
      </c>
      <c r="D213" s="2"/>
    </row>
    <row r="214" spans="1:4" x14ac:dyDescent="0.3">
      <c r="A214" s="21" t="s">
        <v>335</v>
      </c>
      <c r="B214" s="74">
        <f>$B$208*($B$209+$B$210)</f>
        <v>2</v>
      </c>
      <c r="C214" s="2" t="s">
        <v>317</v>
      </c>
      <c r="D214" s="2"/>
    </row>
    <row r="215" spans="1:4" x14ac:dyDescent="0.3">
      <c r="A215" s="21" t="s">
        <v>337</v>
      </c>
      <c r="B215" s="81">
        <f>$B$208*($B$210*$B$67+$B$209*($B$20-$B$67-$B$66))/12</f>
        <v>11</v>
      </c>
      <c r="C215" s="2" t="s">
        <v>338</v>
      </c>
      <c r="D215" s="2" t="s">
        <v>359</v>
      </c>
    </row>
    <row r="216" spans="1:4" x14ac:dyDescent="0.3">
      <c r="A216" s="21" t="s">
        <v>339</v>
      </c>
      <c r="B216" s="74">
        <f>2</f>
        <v>2</v>
      </c>
      <c r="C216" s="2" t="s">
        <v>317</v>
      </c>
      <c r="D216" s="2"/>
    </row>
    <row r="217" spans="1:4" x14ac:dyDescent="0.3">
      <c r="A217" s="21" t="s">
        <v>341</v>
      </c>
      <c r="B217" s="74">
        <f>$B$209+$B$210</f>
        <v>1</v>
      </c>
      <c r="C217" s="2" t="s">
        <v>317</v>
      </c>
      <c r="D217" s="2"/>
    </row>
    <row r="218" spans="1:4" x14ac:dyDescent="0.3">
      <c r="A218" s="21" t="s">
        <v>342</v>
      </c>
      <c r="B218" s="82">
        <f>($B$209+$B$210)*($B$65+2*$B$28)/12</f>
        <v>3.2708333333333335</v>
      </c>
      <c r="C218" s="2" t="s">
        <v>338</v>
      </c>
      <c r="D218" s="2" t="s">
        <v>343</v>
      </c>
    </row>
    <row r="219" spans="1:4" x14ac:dyDescent="0.3">
      <c r="A219" s="21" t="s">
        <v>344</v>
      </c>
      <c r="B219" s="74">
        <f>$B$124*($B$122-$B$208+2)+$B$208*($B$124-$B$211+$B$212)</f>
        <v>20</v>
      </c>
      <c r="C219" s="2" t="s">
        <v>317</v>
      </c>
      <c r="D219" s="2" t="s">
        <v>360</v>
      </c>
    </row>
    <row r="220" spans="1:4" x14ac:dyDescent="0.3">
      <c r="A220" s="21" t="s">
        <v>346</v>
      </c>
      <c r="B220" s="81">
        <f>($B$124*$B$18-$B$211*$B$65)/12</f>
        <v>10</v>
      </c>
      <c r="C220" s="2" t="s">
        <v>338</v>
      </c>
      <c r="D220" s="2"/>
    </row>
    <row r="221" spans="1:4" x14ac:dyDescent="0.3">
      <c r="A221" s="21" t="s">
        <v>347</v>
      </c>
      <c r="B221" s="74">
        <f>$B$122-$B$213+$B$216+$B$214</f>
        <v>6</v>
      </c>
      <c r="C221" s="2" t="s">
        <v>317</v>
      </c>
      <c r="D221" s="2" t="s">
        <v>140</v>
      </c>
    </row>
    <row r="222" spans="1:4" x14ac:dyDescent="0.3">
      <c r="A222" s="21" t="s">
        <v>348</v>
      </c>
      <c r="B222" s="74">
        <f>$B$122-$B$213+$B$216</f>
        <v>4</v>
      </c>
      <c r="C222" s="2" t="s">
        <v>317</v>
      </c>
      <c r="D222" s="2"/>
    </row>
    <row r="223" spans="1:4" x14ac:dyDescent="0.3">
      <c r="A223" s="21" t="s">
        <v>349</v>
      </c>
      <c r="B223" s="82">
        <f>($B$20-$B$39)/12</f>
        <v>8.5</v>
      </c>
      <c r="C223" s="2" t="s">
        <v>299</v>
      </c>
      <c r="D223" s="2" t="s">
        <v>350</v>
      </c>
    </row>
    <row r="224" spans="1:4" x14ac:dyDescent="0.3">
      <c r="A224" s="6" t="s">
        <v>363</v>
      </c>
    </row>
    <row r="225" spans="1:4" x14ac:dyDescent="0.3">
      <c r="A225" s="21" t="s">
        <v>352</v>
      </c>
      <c r="B225" s="74">
        <f>MAX(0,MIN(ROUNDUP((($B$18+$B$69)/2)/$B$27,0)-1,$B$121-1)-MAX(INT(((($B$18-$B$69)/2)-$B$28)/$B$27)+1,0)+1)</f>
        <v>2</v>
      </c>
      <c r="C225" s="2" t="s">
        <v>317</v>
      </c>
      <c r="D225" s="2" t="s">
        <v>318</v>
      </c>
    </row>
    <row r="226" spans="1:4" x14ac:dyDescent="0.3">
      <c r="A226" s="21" t="s">
        <v>353</v>
      </c>
      <c r="B226" s="74">
        <f>IF($B$71+$B$70&lt;$B$20,1,0)</f>
        <v>1</v>
      </c>
      <c r="C226" s="2"/>
      <c r="D226" s="2"/>
    </row>
    <row r="227" spans="1:4" x14ac:dyDescent="0.3">
      <c r="A227" s="21" t="s">
        <v>354</v>
      </c>
      <c r="B227" s="74">
        <f>IF($B$71&gt;0,1,0)</f>
        <v>1</v>
      </c>
      <c r="C227" s="2"/>
      <c r="D227" s="2"/>
    </row>
    <row r="228" spans="1:4" x14ac:dyDescent="0.3">
      <c r="A228" s="21" t="s">
        <v>355</v>
      </c>
      <c r="B228" s="74">
        <f>MAX(0,MIN($B$124-2,INT(($B$71+$B$70-$B$30)/$B$29))-MAX(0,ROUNDUP(($B$71-$B$30)/$B$29,0))+1)+IF(AND($B$20-$B$30&gt;=$B$71,$B$20-$B$30&lt;=$B$71+$B$70),1,0)</f>
        <v>1</v>
      </c>
      <c r="C228" s="2" t="s">
        <v>317</v>
      </c>
      <c r="D228" s="2" t="s">
        <v>322</v>
      </c>
    </row>
    <row r="229" spans="1:4" x14ac:dyDescent="0.3">
      <c r="A229" s="21" t="s">
        <v>356</v>
      </c>
      <c r="B229" s="74">
        <f>$B$227*IF(OR(AND(($B$71)&gt;=$B$30,($B$71)&lt;=$B$20-$B$30,MOD(($B$71)-$B$30,$B$29)=0),($B$71)=$B$20-$B$30),1,0)+$B$226*IF(OR(AND(($B$71+$B$70)&gt;=$B$30,($B$71+$B$70)&lt;=$B$20-$B$30,MOD(($B$71+$B$70)-$B$30,$B$29)=0),($B$71+$B$70)=$B$20-$B$30),1,0)</f>
        <v>0</v>
      </c>
      <c r="C229" s="2" t="s">
        <v>317</v>
      </c>
      <c r="D229" s="2" t="s">
        <v>324</v>
      </c>
    </row>
    <row r="230" spans="1:4" x14ac:dyDescent="0.3">
      <c r="A230" s="21" t="s">
        <v>358</v>
      </c>
      <c r="B230" s="74">
        <f>$B$225</f>
        <v>2</v>
      </c>
      <c r="C230" s="2" t="s">
        <v>317</v>
      </c>
      <c r="D230" s="2"/>
    </row>
    <row r="231" spans="1:4" x14ac:dyDescent="0.3">
      <c r="A231" s="21" t="s">
        <v>335</v>
      </c>
      <c r="B231" s="74">
        <f>$B$225*($B$226+$B$227)</f>
        <v>4</v>
      </c>
      <c r="C231" s="2" t="s">
        <v>317</v>
      </c>
      <c r="D231" s="2"/>
    </row>
    <row r="232" spans="1:4" x14ac:dyDescent="0.3">
      <c r="A232" s="21" t="s">
        <v>337</v>
      </c>
      <c r="B232" s="81">
        <f>$B$225*($B$227*$B$71+$B$226*($B$20-$B$71-$B$70))/12</f>
        <v>13</v>
      </c>
      <c r="C232" s="2" t="s">
        <v>338</v>
      </c>
      <c r="D232" s="2" t="s">
        <v>359</v>
      </c>
    </row>
    <row r="233" spans="1:4" x14ac:dyDescent="0.3">
      <c r="A233" s="21" t="s">
        <v>339</v>
      </c>
      <c r="B233" s="74">
        <f>2</f>
        <v>2</v>
      </c>
      <c r="C233" s="2" t="s">
        <v>317</v>
      </c>
      <c r="D233" s="2"/>
    </row>
    <row r="234" spans="1:4" x14ac:dyDescent="0.3">
      <c r="A234" s="21" t="s">
        <v>341</v>
      </c>
      <c r="B234" s="74">
        <f>$B$226+$B$227</f>
        <v>2</v>
      </c>
      <c r="C234" s="2" t="s">
        <v>317</v>
      </c>
      <c r="D234" s="2"/>
    </row>
    <row r="235" spans="1:4" x14ac:dyDescent="0.3">
      <c r="A235" s="21" t="s">
        <v>342</v>
      </c>
      <c r="B235" s="82">
        <f>($B$226+$B$227)*($B$69+2*$B$28)/12</f>
        <v>7.208333333333333</v>
      </c>
      <c r="C235" s="2" t="s">
        <v>338</v>
      </c>
      <c r="D235" s="2" t="s">
        <v>343</v>
      </c>
    </row>
    <row r="236" spans="1:4" x14ac:dyDescent="0.3">
      <c r="A236" s="21" t="s">
        <v>344</v>
      </c>
      <c r="B236" s="74">
        <f>$B$124*($B$122-$B$225+2)+$B$225*($B$124-$B$228+$B$229)</f>
        <v>22</v>
      </c>
      <c r="C236" s="2" t="s">
        <v>317</v>
      </c>
      <c r="D236" s="2" t="s">
        <v>360</v>
      </c>
    </row>
    <row r="237" spans="1:4" x14ac:dyDescent="0.3">
      <c r="A237" s="21" t="s">
        <v>346</v>
      </c>
      <c r="B237" s="81">
        <f>($B$124*$B$18-$B$228*$B$69)/12</f>
        <v>12.666666666666666</v>
      </c>
      <c r="C237" s="2" t="s">
        <v>338</v>
      </c>
      <c r="D237" s="2"/>
    </row>
    <row r="238" spans="1:4" x14ac:dyDescent="0.3">
      <c r="A238" s="21" t="s">
        <v>347</v>
      </c>
      <c r="B238" s="74">
        <f>$B$122-$B$230+$B$233+$B$231</f>
        <v>8</v>
      </c>
      <c r="C238" s="2" t="s">
        <v>317</v>
      </c>
      <c r="D238" s="2" t="s">
        <v>140</v>
      </c>
    </row>
    <row r="239" spans="1:4" x14ac:dyDescent="0.3">
      <c r="A239" s="21" t="s">
        <v>348</v>
      </c>
      <c r="B239" s="74">
        <f>$B$122-$B$230+$B$233</f>
        <v>4</v>
      </c>
      <c r="C239" s="2" t="s">
        <v>317</v>
      </c>
      <c r="D239" s="2"/>
    </row>
    <row r="240" spans="1:4" x14ac:dyDescent="0.3">
      <c r="A240" s="21" t="s">
        <v>349</v>
      </c>
      <c r="B240" s="82">
        <f>(IF($B$71&gt;$B$38,$B$71-$B$38,$B$20-$B$38))/12</f>
        <v>0.66666666666666663</v>
      </c>
      <c r="C240" s="2" t="s">
        <v>299</v>
      </c>
      <c r="D240" s="2" t="s">
        <v>350</v>
      </c>
    </row>
    <row r="241" spans="1:4" x14ac:dyDescent="0.3">
      <c r="A241" s="6" t="s">
        <v>364</v>
      </c>
    </row>
    <row r="242" spans="1:4" x14ac:dyDescent="0.3">
      <c r="A242" s="21" t="s">
        <v>325</v>
      </c>
      <c r="B242" s="74">
        <f>MAX(0,MIN(ROUNDUP((($B$18+$B$45)/2)/$B$27,0)-1,$B$121-1)-MAX(INT(((($B$18-$B$45)/2)-$B$28)/$B$27)+1,0)+1)</f>
        <v>2</v>
      </c>
      <c r="C242" s="2" t="s">
        <v>317</v>
      </c>
      <c r="D242" s="2" t="s">
        <v>318</v>
      </c>
    </row>
    <row r="243" spans="1:4" x14ac:dyDescent="0.3">
      <c r="A243" s="21" t="s">
        <v>326</v>
      </c>
      <c r="B243" s="74">
        <f>IF($B$47+$B$46&lt;$B$20,1,0)</f>
        <v>1</v>
      </c>
      <c r="C243" s="2"/>
      <c r="D243" s="2"/>
    </row>
    <row r="244" spans="1:4" x14ac:dyDescent="0.3">
      <c r="A244" s="21" t="s">
        <v>327</v>
      </c>
      <c r="B244" s="74">
        <f>IF($B$47&gt;0,1,0)</f>
        <v>1</v>
      </c>
      <c r="C244" s="2"/>
      <c r="D244" s="2"/>
    </row>
    <row r="245" spans="1:4" x14ac:dyDescent="0.3">
      <c r="A245" s="21" t="s">
        <v>328</v>
      </c>
      <c r="B245" s="74">
        <f>MAX(0,MIN($B$124-2,INT(($B$47+$B$46-$B$30)/$B$29))-MAX(0,ROUNDUP(($B$47-$B$30)/$B$29,0))+1)+IF(AND($B$20-$B$30&gt;=$B$47,$B$20-$B$30&lt;=$B$47+$B$46),1,0)</f>
        <v>1</v>
      </c>
      <c r="C245" s="2" t="s">
        <v>317</v>
      </c>
      <c r="D245" s="2" t="s">
        <v>322</v>
      </c>
    </row>
    <row r="246" spans="1:4" x14ac:dyDescent="0.3">
      <c r="A246" s="21" t="s">
        <v>329</v>
      </c>
      <c r="B246" s="74">
        <f>$B$244*IF(OR(AND(($B$47)&gt;=$B$30,($B$47)&lt;=$B$20-$B$30,MOD(($B$47)-$B$30,$B$29)=0),($B$47)=$B$20-$B$30),1,0)+$B$243*IF(OR(AND(($B$47+$B$46)&gt;=$B$30,($B$47+$B$46)&lt;=$B$20-$B$30,MOD(($B$47+$B$46)-$B$30,$B$29)=0),($B$47+$B$46)=$B$20-$B$30),1,0)</f>
        <v>0</v>
      </c>
      <c r="C246" s="2" t="s">
        <v>317</v>
      </c>
      <c r="D246" s="2" t="s">
        <v>324</v>
      </c>
    </row>
    <row r="247" spans="1:4" x14ac:dyDescent="0.3">
      <c r="A247" s="21" t="s">
        <v>358</v>
      </c>
      <c r="B247" s="74">
        <f>$B$242</f>
        <v>2</v>
      </c>
      <c r="C247" s="2" t="s">
        <v>317</v>
      </c>
      <c r="D247" s="2"/>
    </row>
    <row r="248" spans="1:4" x14ac:dyDescent="0.3">
      <c r="A248" s="21" t="s">
        <v>335</v>
      </c>
      <c r="B248" s="74">
        <f>$B$242*($B$243+$B$244)</f>
        <v>4</v>
      </c>
      <c r="C248" s="2" t="s">
        <v>317</v>
      </c>
      <c r="D248" s="2"/>
    </row>
    <row r="249" spans="1:4" x14ac:dyDescent="0.3">
      <c r="A249" s="21" t="s">
        <v>337</v>
      </c>
      <c r="B249" s="81">
        <f>$B$242*($B$244*$B$47+$B$243*($B$20-$B$47-$B$46))/12</f>
        <v>21</v>
      </c>
      <c r="C249" s="2" t="s">
        <v>338</v>
      </c>
      <c r="D249" s="2" t="s">
        <v>359</v>
      </c>
    </row>
    <row r="250" spans="1:4" x14ac:dyDescent="0.3">
      <c r="A250" s="21" t="s">
        <v>339</v>
      </c>
      <c r="B250" s="74">
        <f>2</f>
        <v>2</v>
      </c>
      <c r="C250" s="2" t="s">
        <v>317</v>
      </c>
      <c r="D250" s="2"/>
    </row>
    <row r="251" spans="1:4" x14ac:dyDescent="0.3">
      <c r="A251" s="21" t="s">
        <v>341</v>
      </c>
      <c r="B251" s="74">
        <f>$B$243+$B$244</f>
        <v>2</v>
      </c>
      <c r="C251" s="2" t="s">
        <v>317</v>
      </c>
      <c r="D251" s="2"/>
    </row>
    <row r="252" spans="1:4" x14ac:dyDescent="0.3">
      <c r="A252" s="21" t="s">
        <v>342</v>
      </c>
      <c r="B252" s="82">
        <f>($B$243+$B$244)*($B$45+2*$B$28)/12</f>
        <v>7.208333333333333</v>
      </c>
      <c r="C252" s="2" t="s">
        <v>338</v>
      </c>
      <c r="D252" s="2" t="s">
        <v>343</v>
      </c>
    </row>
    <row r="253" spans="1:4" x14ac:dyDescent="0.3">
      <c r="A253" s="21" t="s">
        <v>344</v>
      </c>
      <c r="B253" s="74">
        <f>$B$124*($B$122-$B$242+2)+$B$242*($B$124-$B$245+$B$246)</f>
        <v>22</v>
      </c>
      <c r="C253" s="2" t="s">
        <v>317</v>
      </c>
      <c r="D253" s="2" t="s">
        <v>360</v>
      </c>
    </row>
    <row r="254" spans="1:4" x14ac:dyDescent="0.3">
      <c r="A254" s="21" t="s">
        <v>346</v>
      </c>
      <c r="B254" s="81">
        <f>($B$124*$B$18-$B$245*$B$45)/12</f>
        <v>12.666666666666666</v>
      </c>
      <c r="C254" s="2" t="s">
        <v>338</v>
      </c>
      <c r="D254" s="2"/>
    </row>
    <row r="255" spans="1:4" x14ac:dyDescent="0.3">
      <c r="A255" s="21" t="s">
        <v>347</v>
      </c>
      <c r="B255" s="74">
        <f>$B$122-$B$247+$B$250+$B$248</f>
        <v>8</v>
      </c>
      <c r="C255" s="2" t="s">
        <v>317</v>
      </c>
      <c r="D255" s="2" t="s">
        <v>140</v>
      </c>
    </row>
    <row r="256" spans="1:4" x14ac:dyDescent="0.3">
      <c r="A256" s="21" t="s">
        <v>348</v>
      </c>
      <c r="B256" s="74">
        <f>$B$122-$B$247+$B$250</f>
        <v>4</v>
      </c>
      <c r="C256" s="2" t="s">
        <v>317</v>
      </c>
      <c r="D256" s="2"/>
    </row>
    <row r="257" spans="1:4" x14ac:dyDescent="0.3">
      <c r="A257" s="21" t="s">
        <v>349</v>
      </c>
      <c r="B257" s="82">
        <f>(IF($B$47&gt;$B$38,$B$47-$B$38,$B$20-$B$38))/12</f>
        <v>8.6666666666666661</v>
      </c>
      <c r="C257" s="2" t="s">
        <v>299</v>
      </c>
      <c r="D257" s="2" t="s">
        <v>350</v>
      </c>
    </row>
    <row r="258" spans="1:4" x14ac:dyDescent="0.3">
      <c r="A258" s="21" t="s">
        <v>365</v>
      </c>
      <c r="B258" s="74">
        <f>$B$109*$B$122+($B$48*($B$122-$B$138)+$B$52*($B$122-$B$162)+$B$56*($B$122-$B$179)+$B$60*($B$122-$B$196)+$B$64*($B$122-$B$213)+$B$68*($B$122-$B$230)+$B$72*($B$122-$B$247))</f>
        <v>106</v>
      </c>
      <c r="C258" s="2" t="s">
        <v>147</v>
      </c>
      <c r="D258" s="2" t="s">
        <v>366</v>
      </c>
    </row>
    <row r="259" spans="1:4" x14ac:dyDescent="0.3">
      <c r="A259" s="21" t="s">
        <v>367</v>
      </c>
      <c r="B259" s="74">
        <f>($B$48*$B$141+$B$52*$B$165+$B$56*$B$182+$B$60*$B$199+$B$64*$B$216+$B$68*$B$233+$B$72*$B$250)</f>
        <v>32</v>
      </c>
      <c r="C259" s="2" t="s">
        <v>147</v>
      </c>
      <c r="D259" s="2"/>
    </row>
    <row r="260" spans="1:4" x14ac:dyDescent="0.3">
      <c r="A260" s="21" t="s">
        <v>368</v>
      </c>
      <c r="B260" s="74">
        <f>($B$48*$B$139+$B$52*$B$163+$B$56*$B$180+$B$60*$B$197+$B$64*$B$214+$B$68*$B$231+$B$72*$B$248)</f>
        <v>74</v>
      </c>
      <c r="C260" s="2" t="s">
        <v>147</v>
      </c>
      <c r="D260" s="2"/>
    </row>
    <row r="261" spans="1:4" x14ac:dyDescent="0.3">
      <c r="A261" s="21" t="s">
        <v>369</v>
      </c>
      <c r="B261" s="81">
        <f>($B$48*$B$140+$B$52*$B$164+$B$56*$B$181+$B$60*$B$198+$B$64*$B$215+$B$68*$B$232+$B$72*$B$249)</f>
        <v>176</v>
      </c>
      <c r="C261" s="2" t="s">
        <v>299</v>
      </c>
      <c r="D261" s="2"/>
    </row>
    <row r="262" spans="1:4" x14ac:dyDescent="0.3">
      <c r="A262" s="21" t="s">
        <v>370</v>
      </c>
      <c r="B262" s="74">
        <f>$B$258+$B$259+$B$260</f>
        <v>212</v>
      </c>
      <c r="C262" s="2" t="s">
        <v>147</v>
      </c>
      <c r="D262" s="2"/>
    </row>
    <row r="263" spans="1:4" x14ac:dyDescent="0.3">
      <c r="A263" s="21" t="s">
        <v>371</v>
      </c>
      <c r="B263" s="74">
        <f>$B$107*$B$122+($B$56*$B$188+$B$60*$B$205)</f>
        <v>96</v>
      </c>
      <c r="C263" s="2" t="s">
        <v>147</v>
      </c>
      <c r="D263" s="2" t="s">
        <v>372</v>
      </c>
    </row>
    <row r="264" spans="1:4" x14ac:dyDescent="0.3">
      <c r="A264" s="21" t="s">
        <v>373</v>
      </c>
      <c r="B264" s="74">
        <f>$B$108*$B$122+($B$48*$B$147+$B$52*$B$171+$B$64*$B$222+$B$68*$B$239+$B$72*$B$256)</f>
        <v>42</v>
      </c>
      <c r="C264" s="2" t="s">
        <v>147</v>
      </c>
      <c r="D264" s="2" t="s">
        <v>374</v>
      </c>
    </row>
    <row r="265" spans="1:4" x14ac:dyDescent="0.3">
      <c r="A265" s="21" t="s">
        <v>375</v>
      </c>
      <c r="B265" s="81">
        <f>$B$263*$B$19/12+$B$264*$B$20/12</f>
        <v>1485</v>
      </c>
      <c r="C265" s="2" t="s">
        <v>299</v>
      </c>
      <c r="D265" s="2" t="s">
        <v>376</v>
      </c>
    </row>
    <row r="266" spans="1:4" x14ac:dyDescent="0.3">
      <c r="A266" s="21" t="s">
        <v>377</v>
      </c>
      <c r="B266" s="81">
        <f>$B$265+$B$261</f>
        <v>1661</v>
      </c>
      <c r="C266" s="2" t="s">
        <v>299</v>
      </c>
      <c r="D266" s="2"/>
    </row>
    <row r="267" spans="1:4" x14ac:dyDescent="0.3">
      <c r="A267" s="21" t="s">
        <v>378</v>
      </c>
      <c r="B267" s="74">
        <f>($B$48*$B$142+$B$52*$B$166+$B$56*$B$183+$B$60*$B$200+$B$64*$B$217+$B$68*$B$234+$B$72*$B$251)</f>
        <v>45</v>
      </c>
      <c r="C267" s="2" t="s">
        <v>147</v>
      </c>
      <c r="D267" s="2"/>
    </row>
    <row r="268" spans="1:4" x14ac:dyDescent="0.3">
      <c r="A268" s="21" t="s">
        <v>379</v>
      </c>
      <c r="B268" s="81">
        <f>($B$48*$B$143+$B$52*$B$167+$B$56*$B$184+$B$60*$B$201+$B$64*$B$218+$B$68*$B$235+$B$72*$B$252)</f>
        <v>156.52083333333331</v>
      </c>
      <c r="C268" s="2" t="s">
        <v>299</v>
      </c>
      <c r="D268" s="2"/>
    </row>
    <row r="269" spans="1:4" x14ac:dyDescent="0.3">
      <c r="A269" s="21" t="s">
        <v>380</v>
      </c>
      <c r="B269" s="81">
        <f>$B$103*2*$B$18/12</f>
        <v>272</v>
      </c>
      <c r="C269" s="2" t="s">
        <v>299</v>
      </c>
      <c r="D269" s="2" t="s">
        <v>381</v>
      </c>
    </row>
    <row r="270" spans="1:4" x14ac:dyDescent="0.3">
      <c r="A270" s="21" t="s">
        <v>382</v>
      </c>
      <c r="B270" s="81">
        <f>$B$269+$B$268+$B$115</f>
        <v>568.35416666666663</v>
      </c>
      <c r="C270" s="2" t="s">
        <v>299</v>
      </c>
      <c r="D270" s="2"/>
    </row>
    <row r="271" spans="1:4" x14ac:dyDescent="0.3">
      <c r="A271" s="21" t="s">
        <v>383</v>
      </c>
      <c r="B271" s="81">
        <f>($B$107*$B$123+$B$108*$B$124)*$B$18/12+($B$48*$B$145+$B$52*$B$169+$B$56*$B$186+$B$60*$B$203+$B$64*$B$220+$B$68*$B$237+$B$72*$B$254)</f>
        <v>371.33333333333337</v>
      </c>
      <c r="C271" s="2" t="s">
        <v>299</v>
      </c>
      <c r="D271" s="2"/>
    </row>
    <row r="272" spans="1:4" x14ac:dyDescent="0.3">
      <c r="A272" s="21" t="s">
        <v>384</v>
      </c>
      <c r="B272" s="74">
        <f>($B$107*$B$123+$B$108*$B$124)*$B$122+($B$48*$B$144+$B$52*$B$168+$B$56*$B$185+$B$60*$B$202+$B$64*$B$219+$B$68*$B$236+$B$72*$B$253)</f>
        <v>520</v>
      </c>
      <c r="C272" s="2" t="s">
        <v>147</v>
      </c>
      <c r="D272" s="2"/>
    </row>
    <row r="273" spans="1:4" x14ac:dyDescent="0.3">
      <c r="A273" s="21" t="s">
        <v>385</v>
      </c>
      <c r="B273" s="74">
        <f>$B$109*$B$122+($B$48*$B$146+$B$52*$B$170+$B$56*$B$187+$B$60*$B$204+$B$64*$B$221+$B$68*$B$238+$B$72*$B$255)</f>
        <v>212</v>
      </c>
      <c r="C273" s="2" t="s">
        <v>147</v>
      </c>
      <c r="D273" s="2"/>
    </row>
    <row r="274" spans="1:4" x14ac:dyDescent="0.3">
      <c r="A274" s="21" t="s">
        <v>386</v>
      </c>
      <c r="B274" s="74">
        <f>$B$48+$B$64</f>
        <v>1</v>
      </c>
      <c r="C274" s="2" t="s">
        <v>147</v>
      </c>
      <c r="D274" s="2"/>
    </row>
    <row r="275" spans="1:4" x14ac:dyDescent="0.3">
      <c r="A275" s="21" t="s">
        <v>387</v>
      </c>
      <c r="B275" s="74">
        <f>($B$103-$B$274)*$B$37+$B$274</f>
        <v>34</v>
      </c>
      <c r="C275" s="2" t="s">
        <v>147</v>
      </c>
      <c r="D275" s="2"/>
    </row>
    <row r="276" spans="1:4" x14ac:dyDescent="0.3">
      <c r="A276" s="21" t="s">
        <v>388</v>
      </c>
      <c r="B276" s="81">
        <f>$B$107*$B$37*($B$19-$B$38)/12+$B$108*$B$37*($B$20-$B$38)/12+($B$48*$B$148*1+$B$52*$B$172*$B$37+$B$56*$B$189*$B$37+$B$60*$B$206*$B$37+$B$64*$B$223*1+$B$68*$B$240*$B$37+$B$72*$B$257*$B$37)</f>
        <v>207.5</v>
      </c>
      <c r="C276" s="2" t="s">
        <v>299</v>
      </c>
      <c r="D276" s="2" t="s">
        <v>389</v>
      </c>
    </row>
    <row r="277" spans="1:4" x14ac:dyDescent="0.3">
      <c r="A277" s="21" t="s">
        <v>390</v>
      </c>
      <c r="B277" s="81">
        <f>($B$19+IF(AND(($B$18-$B$61)/2&lt;0.3*$B$18,($B$18+$B$61)/2&gt;0.3*$B$18),$B$63,$B$19)+$B$19)/12</f>
        <v>25</v>
      </c>
      <c r="C277" s="2" t="s">
        <v>299</v>
      </c>
      <c r="D277" s="2" t="s">
        <v>391</v>
      </c>
    </row>
    <row r="278" spans="1:4" x14ac:dyDescent="0.3">
      <c r="A278" s="21" t="s">
        <v>392</v>
      </c>
      <c r="B278" s="81">
        <f>$B$40*2*0.4*$B$19/12</f>
        <v>24.000000000000004</v>
      </c>
      <c r="C278" s="2" t="s">
        <v>299</v>
      </c>
      <c r="D278" s="2" t="s">
        <v>393</v>
      </c>
    </row>
    <row r="279" spans="1:4" x14ac:dyDescent="0.3">
      <c r="A279" s="21" t="s">
        <v>394</v>
      </c>
      <c r="B279" s="80">
        <f>$B$120*$B$26/12/27</f>
        <v>18.215020576131693</v>
      </c>
      <c r="C279" s="2" t="s">
        <v>395</v>
      </c>
      <c r="D279" s="2" t="s">
        <v>396</v>
      </c>
    </row>
    <row r="280" spans="1:4" x14ac:dyDescent="0.3">
      <c r="A280" s="21" t="s">
        <v>397</v>
      </c>
      <c r="B280" s="80">
        <f>$B$120*$B$25/12/27</f>
        <v>7.2860082304526763</v>
      </c>
      <c r="C280" s="2" t="s">
        <v>395</v>
      </c>
      <c r="D280" s="2" t="s">
        <v>398</v>
      </c>
    </row>
    <row r="281" spans="1:4" x14ac:dyDescent="0.3">
      <c r="A281" s="21" t="s">
        <v>399</v>
      </c>
      <c r="B281" s="80">
        <f>$B$120*$B$112/12/27</f>
        <v>16.393518518518519</v>
      </c>
      <c r="C281" s="2" t="s">
        <v>395</v>
      </c>
      <c r="D281" s="2" t="s">
        <v>400</v>
      </c>
    </row>
    <row r="282" spans="1:4" x14ac:dyDescent="0.3">
      <c r="A282" s="21" t="s">
        <v>401</v>
      </c>
      <c r="B282" s="80">
        <f>$B$279+$B$280+$B$281</f>
        <v>41.894547325102891</v>
      </c>
      <c r="C282" s="2" t="s">
        <v>395</v>
      </c>
      <c r="D282" s="2"/>
    </row>
    <row r="283" spans="1:4" x14ac:dyDescent="0.3">
      <c r="A283" s="21" t="s">
        <v>402</v>
      </c>
      <c r="B283" s="80">
        <f>$B$282*(1+$B$81)</f>
        <v>46.084002057613183</v>
      </c>
      <c r="C283" s="2" t="s">
        <v>395</v>
      </c>
      <c r="D283" s="2" t="s">
        <v>403</v>
      </c>
    </row>
    <row r="284" spans="1:4" x14ac:dyDescent="0.3">
      <c r="A284" s="21" t="s">
        <v>404</v>
      </c>
      <c r="B284" s="80">
        <f>$B$77/$B$80</f>
        <v>6.3829787234042552</v>
      </c>
      <c r="C284" s="2" t="s">
        <v>405</v>
      </c>
      <c r="D284" s="2"/>
    </row>
    <row r="285" spans="1:4" x14ac:dyDescent="0.3">
      <c r="A285" s="21" t="s">
        <v>406</v>
      </c>
      <c r="B285" s="83">
        <f>($B$26/12*$B$75+3)*$B$116</f>
        <v>703.33333333333348</v>
      </c>
      <c r="C285" s="2" t="s">
        <v>237</v>
      </c>
      <c r="D285" s="2" t="s">
        <v>407</v>
      </c>
    </row>
    <row r="286" spans="1:4" x14ac:dyDescent="0.3">
      <c r="A286" s="21" t="s">
        <v>408</v>
      </c>
      <c r="B286" s="83">
        <f>($B$26/12*$B$75+3)*$B$117</f>
        <v>879.16666666666674</v>
      </c>
      <c r="C286" s="2" t="s">
        <v>237</v>
      </c>
      <c r="D286" s="2" t="s">
        <v>409</v>
      </c>
    </row>
    <row r="287" spans="1:4" x14ac:dyDescent="0.3">
      <c r="A287" s="21" t="s">
        <v>410</v>
      </c>
      <c r="B287" s="81">
        <f>$B$41*$B$117</f>
        <v>200</v>
      </c>
      <c r="C287" s="2" t="s">
        <v>302</v>
      </c>
      <c r="D287" s="2" t="s">
        <v>411</v>
      </c>
    </row>
    <row r="288" spans="1:4" x14ac:dyDescent="0.3">
      <c r="A288" s="21" t="s">
        <v>412</v>
      </c>
      <c r="B288" s="81">
        <f>$B$41*2*($B$18+$B$110)/12</f>
        <v>132</v>
      </c>
      <c r="C288" s="2" t="s">
        <v>299</v>
      </c>
      <c r="D288" s="2" t="s">
        <v>413</v>
      </c>
    </row>
    <row r="289" spans="1:11" x14ac:dyDescent="0.3">
      <c r="A289" s="21" t="s">
        <v>115</v>
      </c>
      <c r="B289" s="74">
        <f>ROUNDUP($B$103/$B$41,0)</f>
        <v>9</v>
      </c>
      <c r="C289" s="2" t="s">
        <v>414</v>
      </c>
      <c r="D289" s="2" t="s">
        <v>415</v>
      </c>
    </row>
    <row r="291" spans="1:11" x14ac:dyDescent="0.3">
      <c r="A291" s="4" t="s">
        <v>416</v>
      </c>
      <c r="B291" s="5"/>
      <c r="C291" s="5"/>
      <c r="D291" s="5"/>
      <c r="E291" s="5"/>
      <c r="F291" s="5"/>
      <c r="G291" s="5"/>
      <c r="H291" s="5"/>
      <c r="I291" s="5"/>
      <c r="J291" s="5"/>
      <c r="K291" s="5"/>
    </row>
    <row r="292" spans="1:11" x14ac:dyDescent="0.3">
      <c r="A292" s="11" t="s">
        <v>417</v>
      </c>
      <c r="B292" s="11" t="s">
        <v>418</v>
      </c>
      <c r="C292" s="11" t="s">
        <v>419</v>
      </c>
      <c r="D292" s="11" t="s">
        <v>420</v>
      </c>
      <c r="E292" s="11" t="s">
        <v>421</v>
      </c>
      <c r="F292" s="11" t="s">
        <v>422</v>
      </c>
      <c r="G292" s="11" t="s">
        <v>423</v>
      </c>
      <c r="H292" s="11" t="s">
        <v>424</v>
      </c>
      <c r="I292" s="11" t="s">
        <v>425</v>
      </c>
      <c r="J292" s="11" t="s">
        <v>426</v>
      </c>
      <c r="K292" s="11" t="s">
        <v>427</v>
      </c>
    </row>
    <row r="293" spans="1:11" x14ac:dyDescent="0.3">
      <c r="A293" s="6" t="s">
        <v>428</v>
      </c>
    </row>
    <row r="294" spans="1:11" x14ac:dyDescent="0.3">
      <c r="A294" s="84" t="s">
        <v>429</v>
      </c>
      <c r="B294" s="85">
        <f>$B$265</f>
        <v>1485</v>
      </c>
      <c r="C294" s="86" t="s">
        <v>299</v>
      </c>
      <c r="D294" s="84" t="s">
        <v>430</v>
      </c>
      <c r="E294" s="71" t="s">
        <v>431</v>
      </c>
      <c r="F294" s="86" t="s">
        <v>432</v>
      </c>
      <c r="G294" s="76">
        <v>1.94</v>
      </c>
      <c r="H294" s="13">
        <f t="shared" ref="H294:H304" si="0">IF(D294="Material",B294*G294,0)</f>
        <v>2880.9</v>
      </c>
      <c r="I294" s="13">
        <f t="shared" ref="I294:I304" si="1">IF(D294="Labor",B294*G294,0)</f>
        <v>0</v>
      </c>
      <c r="J294" s="13">
        <f t="shared" ref="J294:J304" si="2">H294+I294</f>
        <v>2880.9</v>
      </c>
      <c r="K294" s="86" t="s">
        <v>433</v>
      </c>
    </row>
    <row r="295" spans="1:11" x14ac:dyDescent="0.3">
      <c r="A295" s="84" t="s">
        <v>434</v>
      </c>
      <c r="B295" s="85">
        <f>$B$261*(1+$B$84)</f>
        <v>193.60000000000002</v>
      </c>
      <c r="C295" s="86" t="s">
        <v>299</v>
      </c>
      <c r="D295" s="84" t="s">
        <v>430</v>
      </c>
      <c r="E295" s="71" t="s">
        <v>431</v>
      </c>
      <c r="F295" s="86" t="s">
        <v>435</v>
      </c>
      <c r="G295" s="76">
        <v>1.94</v>
      </c>
      <c r="H295" s="13">
        <f t="shared" si="0"/>
        <v>375.58400000000006</v>
      </c>
      <c r="I295" s="13">
        <f t="shared" si="1"/>
        <v>0</v>
      </c>
      <c r="J295" s="13">
        <f t="shared" si="2"/>
        <v>375.58400000000006</v>
      </c>
      <c r="K295" s="86" t="s">
        <v>436</v>
      </c>
    </row>
    <row r="296" spans="1:11" x14ac:dyDescent="0.3">
      <c r="A296" s="84" t="s">
        <v>437</v>
      </c>
      <c r="B296" s="85">
        <f>$B$269*(1+$B$84)</f>
        <v>299.20000000000005</v>
      </c>
      <c r="C296" s="86" t="s">
        <v>299</v>
      </c>
      <c r="D296" s="84" t="s">
        <v>430</v>
      </c>
      <c r="E296" s="71" t="s">
        <v>431</v>
      </c>
      <c r="F296" s="86" t="s">
        <v>438</v>
      </c>
      <c r="G296" s="76">
        <v>1.94</v>
      </c>
      <c r="H296" s="13">
        <f t="shared" si="0"/>
        <v>580.44800000000009</v>
      </c>
      <c r="I296" s="13">
        <f t="shared" si="1"/>
        <v>0</v>
      </c>
      <c r="J296" s="13">
        <f t="shared" si="2"/>
        <v>580.44800000000009</v>
      </c>
      <c r="K296" s="86" t="s">
        <v>439</v>
      </c>
    </row>
    <row r="297" spans="1:11" x14ac:dyDescent="0.3">
      <c r="A297" s="84" t="s">
        <v>440</v>
      </c>
      <c r="B297" s="85">
        <f>$B$268*(1+$B$84)</f>
        <v>172.17291666666665</v>
      </c>
      <c r="C297" s="86" t="s">
        <v>299</v>
      </c>
      <c r="D297" s="84" t="s">
        <v>430</v>
      </c>
      <c r="E297" s="71" t="s">
        <v>431</v>
      </c>
      <c r="F297" s="86" t="s">
        <v>441</v>
      </c>
      <c r="G297" s="76">
        <v>1.94</v>
      </c>
      <c r="H297" s="13">
        <f t="shared" si="0"/>
        <v>334.0154583333333</v>
      </c>
      <c r="I297" s="13">
        <f t="shared" si="1"/>
        <v>0</v>
      </c>
      <c r="J297" s="13">
        <f t="shared" si="2"/>
        <v>334.0154583333333</v>
      </c>
      <c r="K297" s="86" t="s">
        <v>442</v>
      </c>
    </row>
    <row r="298" spans="1:11" x14ac:dyDescent="0.3">
      <c r="A298" s="84" t="s">
        <v>443</v>
      </c>
      <c r="B298" s="85">
        <f>$B$115*(1+$B$84)</f>
        <v>153.81666666666669</v>
      </c>
      <c r="C298" s="86" t="s">
        <v>299</v>
      </c>
      <c r="D298" s="84" t="s">
        <v>430</v>
      </c>
      <c r="E298" s="71" t="s">
        <v>444</v>
      </c>
      <c r="F298" s="86" t="s">
        <v>445</v>
      </c>
      <c r="G298" s="76">
        <v>1.94</v>
      </c>
      <c r="H298" s="13">
        <f t="shared" si="0"/>
        <v>298.4043333333334</v>
      </c>
      <c r="I298" s="13">
        <f t="shared" si="1"/>
        <v>0</v>
      </c>
      <c r="J298" s="13">
        <f t="shared" si="2"/>
        <v>298.4043333333334</v>
      </c>
      <c r="K298" s="86" t="s">
        <v>446</v>
      </c>
    </row>
    <row r="299" spans="1:11" x14ac:dyDescent="0.3">
      <c r="A299" s="84" t="s">
        <v>447</v>
      </c>
      <c r="B299" s="85">
        <f>$B$271*(1+$B$84)</f>
        <v>408.46666666666675</v>
      </c>
      <c r="C299" s="86" t="s">
        <v>299</v>
      </c>
      <c r="D299" s="84" t="s">
        <v>430</v>
      </c>
      <c r="E299" s="71" t="s">
        <v>431</v>
      </c>
      <c r="F299" s="86" t="s">
        <v>448</v>
      </c>
      <c r="G299" s="76">
        <v>0.73</v>
      </c>
      <c r="H299" s="13">
        <f t="shared" si="0"/>
        <v>298.1806666666667</v>
      </c>
      <c r="I299" s="13">
        <f t="shared" si="1"/>
        <v>0</v>
      </c>
      <c r="J299" s="13">
        <f t="shared" si="2"/>
        <v>298.1806666666667</v>
      </c>
      <c r="K299" s="86" t="s">
        <v>449</v>
      </c>
    </row>
    <row r="300" spans="1:11" x14ac:dyDescent="0.3">
      <c r="A300" s="84" t="s">
        <v>450</v>
      </c>
      <c r="B300" s="87">
        <f>$B$272*$B$32</f>
        <v>1040</v>
      </c>
      <c r="C300" s="86" t="s">
        <v>147</v>
      </c>
      <c r="D300" s="84" t="s">
        <v>430</v>
      </c>
      <c r="E300" s="71" t="s">
        <v>431</v>
      </c>
      <c r="F300" s="86" t="s">
        <v>451</v>
      </c>
      <c r="G300" s="76">
        <v>0.08</v>
      </c>
      <c r="H300" s="13">
        <f t="shared" si="0"/>
        <v>83.2</v>
      </c>
      <c r="I300" s="13">
        <f t="shared" si="1"/>
        <v>0</v>
      </c>
      <c r="J300" s="13">
        <f t="shared" si="2"/>
        <v>83.2</v>
      </c>
      <c r="K300" s="86" t="s">
        <v>452</v>
      </c>
    </row>
    <row r="301" spans="1:11" x14ac:dyDescent="0.3">
      <c r="A301" s="84" t="s">
        <v>453</v>
      </c>
      <c r="B301" s="87">
        <f>$B$273*2*$B$33</f>
        <v>1696</v>
      </c>
      <c r="C301" s="86" t="s">
        <v>147</v>
      </c>
      <c r="D301" s="84" t="s">
        <v>430</v>
      </c>
      <c r="E301" s="71" t="s">
        <v>431</v>
      </c>
      <c r="F301" s="86" t="s">
        <v>454</v>
      </c>
      <c r="G301" s="76">
        <v>0.08</v>
      </c>
      <c r="H301" s="13">
        <f t="shared" si="0"/>
        <v>135.68</v>
      </c>
      <c r="I301" s="13">
        <f t="shared" si="1"/>
        <v>0</v>
      </c>
      <c r="J301" s="13">
        <f t="shared" si="2"/>
        <v>135.68</v>
      </c>
      <c r="K301" s="86" t="s">
        <v>455</v>
      </c>
    </row>
    <row r="302" spans="1:11" x14ac:dyDescent="0.3">
      <c r="A302" s="84" t="s">
        <v>456</v>
      </c>
      <c r="B302" s="87">
        <f>$B$103*$B$34</f>
        <v>272</v>
      </c>
      <c r="C302" s="86" t="s">
        <v>147</v>
      </c>
      <c r="D302" s="84" t="s">
        <v>430</v>
      </c>
      <c r="E302" s="71" t="s">
        <v>444</v>
      </c>
      <c r="F302" s="86" t="s">
        <v>457</v>
      </c>
      <c r="G302" s="76">
        <v>0.1</v>
      </c>
      <c r="H302" s="13">
        <f t="shared" si="0"/>
        <v>27.200000000000003</v>
      </c>
      <c r="I302" s="13">
        <f t="shared" si="1"/>
        <v>0</v>
      </c>
      <c r="J302" s="13">
        <f t="shared" si="2"/>
        <v>27.200000000000003</v>
      </c>
      <c r="K302" s="86" t="s">
        <v>458</v>
      </c>
    </row>
    <row r="303" spans="1:11" x14ac:dyDescent="0.3">
      <c r="A303" s="84" t="s">
        <v>459</v>
      </c>
      <c r="B303" s="87">
        <f>$B$103*$B$35</f>
        <v>408</v>
      </c>
      <c r="C303" s="86" t="s">
        <v>147</v>
      </c>
      <c r="D303" s="84" t="s">
        <v>430</v>
      </c>
      <c r="E303" s="71" t="s">
        <v>444</v>
      </c>
      <c r="F303" s="86" t="s">
        <v>460</v>
      </c>
      <c r="G303" s="76">
        <v>0.1</v>
      </c>
      <c r="H303" s="13">
        <f t="shared" si="0"/>
        <v>40.800000000000004</v>
      </c>
      <c r="I303" s="13">
        <f t="shared" si="1"/>
        <v>0</v>
      </c>
      <c r="J303" s="13">
        <f t="shared" si="2"/>
        <v>40.800000000000004</v>
      </c>
      <c r="K303" s="86" t="s">
        <v>461</v>
      </c>
    </row>
    <row r="304" spans="1:11" x14ac:dyDescent="0.3">
      <c r="A304" s="84" t="s">
        <v>462</v>
      </c>
      <c r="B304" s="87">
        <f>$B$103*$B$36</f>
        <v>68</v>
      </c>
      <c r="C304" s="86" t="s">
        <v>147</v>
      </c>
      <c r="D304" s="84" t="s">
        <v>430</v>
      </c>
      <c r="E304" s="71" t="s">
        <v>444</v>
      </c>
      <c r="F304" s="86" t="s">
        <v>463</v>
      </c>
      <c r="G304" s="76">
        <v>4.5</v>
      </c>
      <c r="H304" s="13">
        <f t="shared" si="0"/>
        <v>306</v>
      </c>
      <c r="I304" s="13">
        <f t="shared" si="1"/>
        <v>0</v>
      </c>
      <c r="J304" s="13">
        <f t="shared" si="2"/>
        <v>306</v>
      </c>
      <c r="K304" s="86" t="s">
        <v>464</v>
      </c>
    </row>
    <row r="305" spans="1:11" x14ac:dyDescent="0.3">
      <c r="A305" s="16" t="s">
        <v>465</v>
      </c>
      <c r="B305" s="20"/>
      <c r="C305" s="20"/>
      <c r="D305" s="20"/>
      <c r="E305" s="20"/>
      <c r="F305" s="20"/>
      <c r="G305" s="20"/>
      <c r="H305" s="88">
        <f>SUM(H294:H304)</f>
        <v>5360.4124583333351</v>
      </c>
      <c r="I305" s="88">
        <f>SUM(I294:I304)</f>
        <v>0</v>
      </c>
      <c r="J305" s="88">
        <f>SUM(J294:J304)</f>
        <v>5360.4124583333351</v>
      </c>
      <c r="K305" s="20"/>
    </row>
    <row r="307" spans="1:11" x14ac:dyDescent="0.3">
      <c r="A307" s="6" t="s">
        <v>466</v>
      </c>
    </row>
    <row r="308" spans="1:11" x14ac:dyDescent="0.3">
      <c r="A308" s="84" t="s">
        <v>467</v>
      </c>
      <c r="B308" s="85">
        <f>$B$120*$B$31*(1+$B$82)</f>
        <v>2596.733333333334</v>
      </c>
      <c r="C308" s="86" t="s">
        <v>302</v>
      </c>
      <c r="D308" s="84" t="s">
        <v>430</v>
      </c>
      <c r="E308" s="71" t="s">
        <v>431</v>
      </c>
      <c r="F308" s="86" t="s">
        <v>468</v>
      </c>
      <c r="G308" s="76">
        <v>0.95</v>
      </c>
      <c r="H308" s="13">
        <f>IF(D308="Material",B308*G308,0)</f>
        <v>2466.896666666667</v>
      </c>
      <c r="I308" s="13">
        <f>IF(D308="Labor",B308*G308,0)</f>
        <v>0</v>
      </c>
      <c r="J308" s="13">
        <f>H308+I308</f>
        <v>2466.896666666667</v>
      </c>
      <c r="K308" s="86" t="s">
        <v>469</v>
      </c>
    </row>
    <row r="309" spans="1:11" x14ac:dyDescent="0.3">
      <c r="A309" s="84" t="s">
        <v>470</v>
      </c>
      <c r="B309" s="87">
        <f>ROUNDUP(B308/$B$83,0)</f>
        <v>5</v>
      </c>
      <c r="C309" s="86" t="s">
        <v>471</v>
      </c>
      <c r="D309" s="84" t="s">
        <v>430</v>
      </c>
      <c r="E309" s="71" t="s">
        <v>431</v>
      </c>
      <c r="F309" s="86" t="s">
        <v>472</v>
      </c>
      <c r="G309" s="76">
        <v>0</v>
      </c>
      <c r="H309" s="13">
        <f>IF(D309="Material",B309*G309,0)</f>
        <v>0</v>
      </c>
      <c r="I309" s="13">
        <f>IF(D309="Labor",B309*G309,0)</f>
        <v>0</v>
      </c>
      <c r="J309" s="13">
        <f>H309+I309</f>
        <v>0</v>
      </c>
      <c r="K309" s="86" t="s">
        <v>473</v>
      </c>
    </row>
    <row r="310" spans="1:11" x14ac:dyDescent="0.3">
      <c r="A310" s="16" t="s">
        <v>474</v>
      </c>
      <c r="B310" s="20"/>
      <c r="C310" s="20"/>
      <c r="D310" s="20"/>
      <c r="E310" s="20"/>
      <c r="F310" s="20"/>
      <c r="G310" s="20"/>
      <c r="H310" s="88">
        <f>SUM(H308:H309)</f>
        <v>2466.896666666667</v>
      </c>
      <c r="I310" s="88">
        <f>SUM(I308:I309)</f>
        <v>0</v>
      </c>
      <c r="J310" s="88">
        <f>SUM(J308:J309)</f>
        <v>2466.896666666667</v>
      </c>
      <c r="K310" s="20"/>
    </row>
    <row r="312" spans="1:11" x14ac:dyDescent="0.3">
      <c r="A312" s="6" t="s">
        <v>475</v>
      </c>
    </row>
    <row r="313" spans="1:11" x14ac:dyDescent="0.3">
      <c r="A313" s="84" t="s">
        <v>476</v>
      </c>
      <c r="B313" s="85">
        <f>$B$279*(1+$B$81)</f>
        <v>20.036522633744863</v>
      </c>
      <c r="C313" s="86" t="s">
        <v>395</v>
      </c>
      <c r="D313" s="84" t="s">
        <v>430</v>
      </c>
      <c r="E313" s="71" t="s">
        <v>431</v>
      </c>
      <c r="F313" s="86" t="s">
        <v>477</v>
      </c>
      <c r="G313" s="89">
        <f>$B$78+$B$79</f>
        <v>220</v>
      </c>
      <c r="H313" s="13">
        <f t="shared" ref="H313:H319" si="3">IF(D313="Material",B313*G313,0)</f>
        <v>4408.03497942387</v>
      </c>
      <c r="I313" s="13">
        <f t="shared" ref="I313:I319" si="4">IF(D313="Labor",B313*G313,0)</f>
        <v>0</v>
      </c>
      <c r="J313" s="13">
        <f t="shared" ref="J313:J319" si="5">H313+I313</f>
        <v>4408.03497942387</v>
      </c>
      <c r="K313" s="86" t="s">
        <v>478</v>
      </c>
    </row>
    <row r="314" spans="1:11" x14ac:dyDescent="0.3">
      <c r="A314" s="84" t="s">
        <v>479</v>
      </c>
      <c r="B314" s="85">
        <f>$B$280*(1+$B$81)</f>
        <v>8.0146090534979439</v>
      </c>
      <c r="C314" s="86" t="s">
        <v>395</v>
      </c>
      <c r="D314" s="84" t="s">
        <v>430</v>
      </c>
      <c r="E314" s="71" t="s">
        <v>431</v>
      </c>
      <c r="F314" s="86" t="s">
        <v>480</v>
      </c>
      <c r="G314" s="89">
        <f>$B$78+$B$79</f>
        <v>220</v>
      </c>
      <c r="H314" s="13">
        <f t="shared" si="3"/>
        <v>1763.2139917695476</v>
      </c>
      <c r="I314" s="13">
        <f t="shared" si="4"/>
        <v>0</v>
      </c>
      <c r="J314" s="13">
        <f t="shared" si="5"/>
        <v>1763.2139917695476</v>
      </c>
      <c r="K314" s="86" t="s">
        <v>481</v>
      </c>
    </row>
    <row r="315" spans="1:11" x14ac:dyDescent="0.3">
      <c r="A315" s="84" t="s">
        <v>482</v>
      </c>
      <c r="B315" s="85">
        <f>$B$281*(1+$B$81)</f>
        <v>18.032870370370372</v>
      </c>
      <c r="C315" s="86" t="s">
        <v>395</v>
      </c>
      <c r="D315" s="84" t="s">
        <v>430</v>
      </c>
      <c r="E315" s="71" t="s">
        <v>444</v>
      </c>
      <c r="F315" s="86" t="s">
        <v>483</v>
      </c>
      <c r="G315" s="89">
        <f>$B$78+$B$79</f>
        <v>220</v>
      </c>
      <c r="H315" s="13">
        <f t="shared" si="3"/>
        <v>3967.2314814814818</v>
      </c>
      <c r="I315" s="13">
        <f t="shared" si="4"/>
        <v>0</v>
      </c>
      <c r="J315" s="13">
        <f t="shared" si="5"/>
        <v>3967.2314814814818</v>
      </c>
      <c r="K315" s="86" t="s">
        <v>484</v>
      </c>
    </row>
    <row r="316" spans="1:11" x14ac:dyDescent="0.3">
      <c r="A316" s="84" t="s">
        <v>485</v>
      </c>
      <c r="B316" s="85">
        <f>$B$283</f>
        <v>46.084002057613183</v>
      </c>
      <c r="C316" s="86" t="s">
        <v>395</v>
      </c>
      <c r="D316" s="84" t="s">
        <v>430</v>
      </c>
      <c r="E316" s="71" t="s">
        <v>431</v>
      </c>
      <c r="F316" s="86" t="s">
        <v>486</v>
      </c>
      <c r="G316" s="76">
        <v>0</v>
      </c>
      <c r="H316" s="13">
        <f t="shared" si="3"/>
        <v>0</v>
      </c>
      <c r="I316" s="13">
        <f t="shared" si="4"/>
        <v>0</v>
      </c>
      <c r="J316" s="13">
        <f t="shared" si="5"/>
        <v>0</v>
      </c>
      <c r="K316" s="86" t="s">
        <v>487</v>
      </c>
    </row>
    <row r="317" spans="1:11" x14ac:dyDescent="0.3">
      <c r="A317" s="84" t="s">
        <v>488</v>
      </c>
      <c r="B317" s="85">
        <f>$B$283</f>
        <v>46.084002057613183</v>
      </c>
      <c r="C317" s="86" t="s">
        <v>395</v>
      </c>
      <c r="D317" s="84" t="s">
        <v>430</v>
      </c>
      <c r="E317" s="71" t="s">
        <v>431</v>
      </c>
      <c r="F317" s="86" t="s">
        <v>489</v>
      </c>
      <c r="G317" s="76">
        <v>0</v>
      </c>
      <c r="H317" s="13">
        <f t="shared" si="3"/>
        <v>0</v>
      </c>
      <c r="I317" s="13">
        <f t="shared" si="4"/>
        <v>0</v>
      </c>
      <c r="J317" s="13">
        <f t="shared" si="5"/>
        <v>0</v>
      </c>
      <c r="K317" s="86" t="s">
        <v>490</v>
      </c>
    </row>
    <row r="318" spans="1:11" x14ac:dyDescent="0.3">
      <c r="A318" s="84" t="s">
        <v>491</v>
      </c>
      <c r="B318" s="87">
        <f>$B$283*$B$77</f>
        <v>27650.401234567911</v>
      </c>
      <c r="C318" s="86" t="s">
        <v>237</v>
      </c>
      <c r="D318" s="84" t="s">
        <v>430</v>
      </c>
      <c r="E318" s="71" t="s">
        <v>431</v>
      </c>
      <c r="F318" s="86" t="s">
        <v>492</v>
      </c>
      <c r="G318" s="76">
        <v>0</v>
      </c>
      <c r="H318" s="13">
        <f t="shared" si="3"/>
        <v>0</v>
      </c>
      <c r="I318" s="13">
        <f t="shared" si="4"/>
        <v>0</v>
      </c>
      <c r="J318" s="13">
        <f t="shared" si="5"/>
        <v>0</v>
      </c>
      <c r="K318" s="86" t="s">
        <v>493</v>
      </c>
    </row>
    <row r="319" spans="1:11" x14ac:dyDescent="0.3">
      <c r="A319" s="84" t="s">
        <v>494</v>
      </c>
      <c r="B319" s="87">
        <f>ROUNDUP($B$283*$B$284,0)</f>
        <v>295</v>
      </c>
      <c r="C319" s="86" t="s">
        <v>495</v>
      </c>
      <c r="D319" s="84" t="s">
        <v>430</v>
      </c>
      <c r="E319" s="71" t="s">
        <v>431</v>
      </c>
      <c r="F319" s="86" t="s">
        <v>496</v>
      </c>
      <c r="G319" s="76">
        <v>0</v>
      </c>
      <c r="H319" s="13">
        <f t="shared" si="3"/>
        <v>0</v>
      </c>
      <c r="I319" s="13">
        <f t="shared" si="4"/>
        <v>0</v>
      </c>
      <c r="J319" s="13">
        <f t="shared" si="5"/>
        <v>0</v>
      </c>
      <c r="K319" s="86" t="s">
        <v>497</v>
      </c>
    </row>
    <row r="320" spans="1:11" x14ac:dyDescent="0.3">
      <c r="A320" s="16" t="s">
        <v>498</v>
      </c>
      <c r="B320" s="20"/>
      <c r="C320" s="20"/>
      <c r="D320" s="20"/>
      <c r="E320" s="20"/>
      <c r="F320" s="20"/>
      <c r="G320" s="20"/>
      <c r="H320" s="88">
        <f>SUM(H313:H319)</f>
        <v>10138.480452674899</v>
      </c>
      <c r="I320" s="88">
        <f>SUM(I313:I319)</f>
        <v>0</v>
      </c>
      <c r="J320" s="88">
        <f>SUM(J313:J319)</f>
        <v>10138.480452674899</v>
      </c>
      <c r="K320" s="20"/>
    </row>
    <row r="322" spans="1:11" x14ac:dyDescent="0.3">
      <c r="A322" s="6" t="s">
        <v>499</v>
      </c>
    </row>
    <row r="323" spans="1:11" x14ac:dyDescent="0.3">
      <c r="A323" s="84" t="s">
        <v>500</v>
      </c>
      <c r="B323" s="87">
        <f>$B$272</f>
        <v>520</v>
      </c>
      <c r="C323" s="86" t="s">
        <v>147</v>
      </c>
      <c r="D323" s="84" t="s">
        <v>430</v>
      </c>
      <c r="E323" s="71" t="s">
        <v>431</v>
      </c>
      <c r="F323" s="86" t="s">
        <v>501</v>
      </c>
      <c r="G323" s="76">
        <v>0.6</v>
      </c>
      <c r="H323" s="13">
        <f>IF(D323="Material",B323*G323,0)</f>
        <v>312</v>
      </c>
      <c r="I323" s="13">
        <f>IF(D323="Labor",B323*G323,0)</f>
        <v>0</v>
      </c>
      <c r="J323" s="13">
        <f>H323+I323</f>
        <v>312</v>
      </c>
      <c r="K323" s="86" t="s">
        <v>502</v>
      </c>
    </row>
    <row r="324" spans="1:11" x14ac:dyDescent="0.3">
      <c r="A324" s="16" t="s">
        <v>503</v>
      </c>
      <c r="B324" s="20"/>
      <c r="C324" s="20"/>
      <c r="D324" s="20"/>
      <c r="E324" s="20"/>
      <c r="F324" s="20"/>
      <c r="G324" s="20"/>
      <c r="H324" s="88">
        <f>SUM(H323:H323)</f>
        <v>312</v>
      </c>
      <c r="I324" s="88">
        <f>SUM(I323:I323)</f>
        <v>0</v>
      </c>
      <c r="J324" s="88">
        <f>SUM(J323:J323)</f>
        <v>312</v>
      </c>
      <c r="K324" s="20"/>
    </row>
    <row r="326" spans="1:11" x14ac:dyDescent="0.3">
      <c r="A326" s="6" t="s">
        <v>504</v>
      </c>
    </row>
    <row r="327" spans="1:11" x14ac:dyDescent="0.3">
      <c r="A327" s="84" t="s">
        <v>505</v>
      </c>
      <c r="B327" s="85">
        <f>$B$287*1.1</f>
        <v>220.00000000000003</v>
      </c>
      <c r="C327" s="86" t="s">
        <v>302</v>
      </c>
      <c r="D327" s="84" t="s">
        <v>430</v>
      </c>
      <c r="E327" s="71" t="s">
        <v>431</v>
      </c>
      <c r="F327" s="86" t="s">
        <v>506</v>
      </c>
      <c r="G327" s="76">
        <v>0.12</v>
      </c>
      <c r="H327" s="13">
        <f>IF(D327="Material",B327*G327,0)</f>
        <v>26.400000000000002</v>
      </c>
      <c r="I327" s="13">
        <f>IF(D327="Labor",B327*G327,0)</f>
        <v>0</v>
      </c>
      <c r="J327" s="13">
        <f>H327+I327</f>
        <v>26.400000000000002</v>
      </c>
      <c r="K327" s="86" t="s">
        <v>507</v>
      </c>
    </row>
    <row r="328" spans="1:11" x14ac:dyDescent="0.3">
      <c r="A328" s="84" t="s">
        <v>508</v>
      </c>
      <c r="B328" s="85">
        <f>$B$288</f>
        <v>132</v>
      </c>
      <c r="C328" s="86" t="s">
        <v>299</v>
      </c>
      <c r="D328" s="84" t="s">
        <v>430</v>
      </c>
      <c r="E328" s="71" t="s">
        <v>431</v>
      </c>
      <c r="F328" s="86" t="s">
        <v>509</v>
      </c>
      <c r="G328" s="76">
        <v>1.8</v>
      </c>
      <c r="H328" s="13">
        <f>IF(D328="Material",B328*G328,0)</f>
        <v>237.6</v>
      </c>
      <c r="I328" s="13">
        <f>IF(D328="Labor",B328*G328,0)</f>
        <v>0</v>
      </c>
      <c r="J328" s="13">
        <f>H328+I328</f>
        <v>237.6</v>
      </c>
      <c r="K328" s="86" t="s">
        <v>510</v>
      </c>
    </row>
    <row r="329" spans="1:11" x14ac:dyDescent="0.3">
      <c r="A329" s="16" t="s">
        <v>511</v>
      </c>
      <c r="B329" s="20"/>
      <c r="C329" s="20"/>
      <c r="D329" s="20"/>
      <c r="E329" s="20"/>
      <c r="F329" s="20"/>
      <c r="G329" s="20"/>
      <c r="H329" s="88">
        <f>SUM(H327:H328)</f>
        <v>264</v>
      </c>
      <c r="I329" s="88">
        <f>SUM(I327:I328)</f>
        <v>0</v>
      </c>
      <c r="J329" s="88">
        <f>SUM(J327:J328)</f>
        <v>264</v>
      </c>
      <c r="K329" s="20"/>
    </row>
    <row r="331" spans="1:11" x14ac:dyDescent="0.3">
      <c r="A331" s="6" t="s">
        <v>512</v>
      </c>
    </row>
    <row r="332" spans="1:11" x14ac:dyDescent="0.3">
      <c r="A332" s="84" t="s">
        <v>513</v>
      </c>
      <c r="B332" s="87">
        <f>$B$275</f>
        <v>34</v>
      </c>
      <c r="C332" s="86" t="s">
        <v>147</v>
      </c>
      <c r="D332" s="84" t="s">
        <v>430</v>
      </c>
      <c r="E332" s="71" t="s">
        <v>444</v>
      </c>
      <c r="F332" s="86" t="s">
        <v>514</v>
      </c>
      <c r="G332" s="76">
        <v>6</v>
      </c>
      <c r="H332" s="13">
        <f>IF(D332="Material",B332*G332,0)</f>
        <v>204</v>
      </c>
      <c r="I332" s="13">
        <f>IF(D332="Labor",B332*G332,0)</f>
        <v>0</v>
      </c>
      <c r="J332" s="13">
        <f>H332+I332</f>
        <v>204</v>
      </c>
      <c r="K332" s="86" t="s">
        <v>515</v>
      </c>
    </row>
    <row r="333" spans="1:11" x14ac:dyDescent="0.3">
      <c r="A333" s="84" t="s">
        <v>516</v>
      </c>
      <c r="B333" s="85">
        <f>$B$276</f>
        <v>207.5</v>
      </c>
      <c r="C333" s="86" t="s">
        <v>299</v>
      </c>
      <c r="D333" s="84" t="s">
        <v>430</v>
      </c>
      <c r="E333" s="71" t="s">
        <v>444</v>
      </c>
      <c r="F333" s="86" t="s">
        <v>517</v>
      </c>
      <c r="G333" s="76">
        <v>1.25</v>
      </c>
      <c r="H333" s="13">
        <f>IF(D333="Material",B333*G333,0)</f>
        <v>259.375</v>
      </c>
      <c r="I333" s="13">
        <f>IF(D333="Labor",B333*G333,0)</f>
        <v>0</v>
      </c>
      <c r="J333" s="13">
        <f>H333+I333</f>
        <v>259.375</v>
      </c>
      <c r="K333" s="86" t="s">
        <v>518</v>
      </c>
    </row>
    <row r="334" spans="1:11" x14ac:dyDescent="0.3">
      <c r="A334" s="84" t="s">
        <v>519</v>
      </c>
      <c r="B334" s="85">
        <f>$B$277</f>
        <v>25</v>
      </c>
      <c r="C334" s="86" t="s">
        <v>299</v>
      </c>
      <c r="D334" s="84" t="s">
        <v>430</v>
      </c>
      <c r="E334" s="71" t="s">
        <v>444</v>
      </c>
      <c r="F334" s="86" t="s">
        <v>520</v>
      </c>
      <c r="G334" s="76">
        <v>4</v>
      </c>
      <c r="H334" s="13">
        <f>IF(D334="Material",B334*G334,0)</f>
        <v>100</v>
      </c>
      <c r="I334" s="13">
        <f>IF(D334="Labor",B334*G334,0)</f>
        <v>0</v>
      </c>
      <c r="J334" s="13">
        <f>H334+I334</f>
        <v>100</v>
      </c>
      <c r="K334" s="86" t="s">
        <v>521</v>
      </c>
    </row>
    <row r="335" spans="1:11" x14ac:dyDescent="0.3">
      <c r="A335" s="84" t="s">
        <v>522</v>
      </c>
      <c r="B335" s="85">
        <f>$B$278</f>
        <v>24.000000000000004</v>
      </c>
      <c r="C335" s="86" t="s">
        <v>299</v>
      </c>
      <c r="D335" s="84" t="s">
        <v>430</v>
      </c>
      <c r="E335" s="71" t="s">
        <v>444</v>
      </c>
      <c r="F335" s="86" t="s">
        <v>393</v>
      </c>
      <c r="G335" s="76">
        <v>2.5</v>
      </c>
      <c r="H335" s="13">
        <f>IF(D335="Material",B335*G335,0)</f>
        <v>60.000000000000007</v>
      </c>
      <c r="I335" s="13">
        <f>IF(D335="Labor",B335*G335,0)</f>
        <v>0</v>
      </c>
      <c r="J335" s="13">
        <f>H335+I335</f>
        <v>60.000000000000007</v>
      </c>
      <c r="K335" s="86" t="s">
        <v>521</v>
      </c>
    </row>
    <row r="336" spans="1:11" x14ac:dyDescent="0.3">
      <c r="A336" s="16" t="s">
        <v>523</v>
      </c>
      <c r="B336" s="20"/>
      <c r="C336" s="20"/>
      <c r="D336" s="20"/>
      <c r="E336" s="20"/>
      <c r="F336" s="20"/>
      <c r="G336" s="20"/>
      <c r="H336" s="88">
        <f>SUM(H332:H335)</f>
        <v>623.375</v>
      </c>
      <c r="I336" s="88">
        <f>SUM(I332:I335)</f>
        <v>0</v>
      </c>
      <c r="J336" s="88">
        <f>SUM(J332:J335)</f>
        <v>623.375</v>
      </c>
      <c r="K336" s="20"/>
    </row>
    <row r="338" spans="1:11" x14ac:dyDescent="0.3">
      <c r="A338" s="6" t="s">
        <v>524</v>
      </c>
    </row>
    <row r="339" spans="1:11" x14ac:dyDescent="0.3">
      <c r="A339" s="84" t="s">
        <v>525</v>
      </c>
      <c r="B339" s="85">
        <f>$B$92</f>
        <v>16</v>
      </c>
      <c r="C339" s="86" t="s">
        <v>261</v>
      </c>
      <c r="D339" s="84" t="s">
        <v>24</v>
      </c>
      <c r="E339" s="71" t="s">
        <v>431</v>
      </c>
      <c r="F339" s="86" t="s">
        <v>526</v>
      </c>
      <c r="G339" s="89">
        <f t="shared" ref="G339:G347" si="6">$B$91</f>
        <v>35</v>
      </c>
      <c r="H339" s="13">
        <f t="shared" ref="H339:H347" si="7">IF(D339="Material",B339*G339,0)</f>
        <v>0</v>
      </c>
      <c r="I339" s="13">
        <f t="shared" ref="I339:I347" si="8">IF(D339="Labor",B339*G339,0)</f>
        <v>560</v>
      </c>
      <c r="J339" s="13">
        <f t="shared" ref="J339:J347" si="9">H339+I339</f>
        <v>560</v>
      </c>
      <c r="K339" s="86" t="s">
        <v>527</v>
      </c>
    </row>
    <row r="340" spans="1:11" x14ac:dyDescent="0.3">
      <c r="A340" s="84" t="s">
        <v>528</v>
      </c>
      <c r="B340" s="85">
        <f>$B$118*$B$93</f>
        <v>146</v>
      </c>
      <c r="C340" s="86" t="s">
        <v>261</v>
      </c>
      <c r="D340" s="84" t="s">
        <v>24</v>
      </c>
      <c r="E340" s="71" t="s">
        <v>431</v>
      </c>
      <c r="F340" s="86" t="s">
        <v>529</v>
      </c>
      <c r="G340" s="89">
        <f t="shared" si="6"/>
        <v>35</v>
      </c>
      <c r="H340" s="13">
        <f t="shared" si="7"/>
        <v>0</v>
      </c>
      <c r="I340" s="13">
        <f t="shared" si="8"/>
        <v>5110</v>
      </c>
      <c r="J340" s="13">
        <f t="shared" si="9"/>
        <v>5110</v>
      </c>
      <c r="K340" s="86" t="s">
        <v>527</v>
      </c>
    </row>
    <row r="341" spans="1:11" x14ac:dyDescent="0.3">
      <c r="A341" s="84" t="s">
        <v>266</v>
      </c>
      <c r="B341" s="85">
        <f>$B$120*$B$94</f>
        <v>35.410000000000004</v>
      </c>
      <c r="C341" s="86" t="s">
        <v>261</v>
      </c>
      <c r="D341" s="84" t="s">
        <v>24</v>
      </c>
      <c r="E341" s="71" t="s">
        <v>431</v>
      </c>
      <c r="F341" s="86" t="s">
        <v>530</v>
      </c>
      <c r="G341" s="89">
        <f t="shared" si="6"/>
        <v>35</v>
      </c>
      <c r="H341" s="13">
        <f t="shared" si="7"/>
        <v>0</v>
      </c>
      <c r="I341" s="13">
        <f t="shared" si="8"/>
        <v>1239.3500000000001</v>
      </c>
      <c r="J341" s="13">
        <f t="shared" si="9"/>
        <v>1239.3500000000001</v>
      </c>
      <c r="K341" s="86" t="s">
        <v>527</v>
      </c>
    </row>
    <row r="342" spans="1:11" x14ac:dyDescent="0.3">
      <c r="A342" s="84" t="s">
        <v>269</v>
      </c>
      <c r="B342" s="85">
        <f>($B$279+$B$280)*(1+$B$81)*$B$95</f>
        <v>42.076697530864209</v>
      </c>
      <c r="C342" s="86" t="s">
        <v>261</v>
      </c>
      <c r="D342" s="84" t="s">
        <v>24</v>
      </c>
      <c r="E342" s="71" t="s">
        <v>431</v>
      </c>
      <c r="F342" s="86" t="s">
        <v>531</v>
      </c>
      <c r="G342" s="89">
        <f t="shared" si="6"/>
        <v>35</v>
      </c>
      <c r="H342" s="13">
        <f t="shared" si="7"/>
        <v>0</v>
      </c>
      <c r="I342" s="13">
        <f t="shared" si="8"/>
        <v>1472.6844135802473</v>
      </c>
      <c r="J342" s="13">
        <f t="shared" si="9"/>
        <v>1472.6844135802473</v>
      </c>
      <c r="K342" s="86" t="s">
        <v>527</v>
      </c>
    </row>
    <row r="343" spans="1:11" x14ac:dyDescent="0.3">
      <c r="A343" s="84" t="s">
        <v>532</v>
      </c>
      <c r="B343" s="85">
        <f>$B$103*$B$96</f>
        <v>51</v>
      </c>
      <c r="C343" s="86" t="s">
        <v>261</v>
      </c>
      <c r="D343" s="84" t="s">
        <v>24</v>
      </c>
      <c r="E343" s="71" t="s">
        <v>444</v>
      </c>
      <c r="F343" s="86" t="s">
        <v>533</v>
      </c>
      <c r="G343" s="89">
        <f t="shared" si="6"/>
        <v>35</v>
      </c>
      <c r="H343" s="13">
        <f t="shared" si="7"/>
        <v>0</v>
      </c>
      <c r="I343" s="13">
        <f t="shared" si="8"/>
        <v>1785</v>
      </c>
      <c r="J343" s="13">
        <f t="shared" si="9"/>
        <v>1785</v>
      </c>
      <c r="K343" s="86" t="s">
        <v>534</v>
      </c>
    </row>
    <row r="344" spans="1:11" x14ac:dyDescent="0.3">
      <c r="A344" s="84" t="s">
        <v>275</v>
      </c>
      <c r="B344" s="85">
        <f>$B$103*$B$97</f>
        <v>25.5</v>
      </c>
      <c r="C344" s="86" t="s">
        <v>261</v>
      </c>
      <c r="D344" s="84" t="s">
        <v>24</v>
      </c>
      <c r="E344" s="71" t="s">
        <v>444</v>
      </c>
      <c r="F344" s="86" t="s">
        <v>533</v>
      </c>
      <c r="G344" s="89">
        <f t="shared" si="6"/>
        <v>35</v>
      </c>
      <c r="H344" s="13">
        <f t="shared" si="7"/>
        <v>0</v>
      </c>
      <c r="I344" s="13">
        <f t="shared" si="8"/>
        <v>892.5</v>
      </c>
      <c r="J344" s="13">
        <f t="shared" si="9"/>
        <v>892.5</v>
      </c>
      <c r="K344" s="86" t="s">
        <v>527</v>
      </c>
    </row>
    <row r="345" spans="1:11" x14ac:dyDescent="0.3">
      <c r="A345" s="84" t="s">
        <v>535</v>
      </c>
      <c r="B345" s="85">
        <f>$B$103*$B$98</f>
        <v>34</v>
      </c>
      <c r="C345" s="86" t="s">
        <v>261</v>
      </c>
      <c r="D345" s="84" t="s">
        <v>24</v>
      </c>
      <c r="E345" s="71" t="s">
        <v>444</v>
      </c>
      <c r="F345" s="86" t="s">
        <v>533</v>
      </c>
      <c r="G345" s="89">
        <f t="shared" si="6"/>
        <v>35</v>
      </c>
      <c r="H345" s="13">
        <f t="shared" si="7"/>
        <v>0</v>
      </c>
      <c r="I345" s="13">
        <f t="shared" si="8"/>
        <v>1190</v>
      </c>
      <c r="J345" s="13">
        <f t="shared" si="9"/>
        <v>1190</v>
      </c>
      <c r="K345" s="86" t="s">
        <v>536</v>
      </c>
    </row>
    <row r="346" spans="1:11" x14ac:dyDescent="0.3">
      <c r="A346" s="84" t="s">
        <v>537</v>
      </c>
      <c r="B346" s="85">
        <f>$B$103*$B$99</f>
        <v>34</v>
      </c>
      <c r="C346" s="86" t="s">
        <v>261</v>
      </c>
      <c r="D346" s="84" t="s">
        <v>24</v>
      </c>
      <c r="E346" s="71" t="s">
        <v>444</v>
      </c>
      <c r="F346" s="86" t="s">
        <v>533</v>
      </c>
      <c r="G346" s="89">
        <f t="shared" si="6"/>
        <v>35</v>
      </c>
      <c r="H346" s="13">
        <f t="shared" si="7"/>
        <v>0</v>
      </c>
      <c r="I346" s="13">
        <f t="shared" si="8"/>
        <v>1190</v>
      </c>
      <c r="J346" s="13">
        <f t="shared" si="9"/>
        <v>1190</v>
      </c>
      <c r="K346" s="86" t="s">
        <v>527</v>
      </c>
    </row>
    <row r="347" spans="1:11" x14ac:dyDescent="0.3">
      <c r="A347" s="84" t="s">
        <v>279</v>
      </c>
      <c r="B347" s="85">
        <f>$B$281*(1+$B$81)*$B$100</f>
        <v>36.065740740740743</v>
      </c>
      <c r="C347" s="86" t="s">
        <v>261</v>
      </c>
      <c r="D347" s="84" t="s">
        <v>24</v>
      </c>
      <c r="E347" s="71" t="s">
        <v>444</v>
      </c>
      <c r="F347" s="86" t="s">
        <v>531</v>
      </c>
      <c r="G347" s="89">
        <f t="shared" si="6"/>
        <v>35</v>
      </c>
      <c r="H347" s="13">
        <f t="shared" si="7"/>
        <v>0</v>
      </c>
      <c r="I347" s="13">
        <f t="shared" si="8"/>
        <v>1262.3009259259261</v>
      </c>
      <c r="J347" s="13">
        <f t="shared" si="9"/>
        <v>1262.3009259259261</v>
      </c>
      <c r="K347" s="86" t="s">
        <v>538</v>
      </c>
    </row>
    <row r="348" spans="1:11" x14ac:dyDescent="0.3">
      <c r="A348" s="16" t="s">
        <v>539</v>
      </c>
      <c r="B348" s="20"/>
      <c r="C348" s="20"/>
      <c r="D348" s="20"/>
      <c r="E348" s="20"/>
      <c r="F348" s="20"/>
      <c r="G348" s="20"/>
      <c r="H348" s="88">
        <f>SUM(H339:H347)</f>
        <v>0</v>
      </c>
      <c r="I348" s="88">
        <f>SUM(I339:I347)</f>
        <v>14701.835339506175</v>
      </c>
      <c r="J348" s="88">
        <f>SUM(J339:J347)</f>
        <v>14701.835339506175</v>
      </c>
      <c r="K348" s="20"/>
    </row>
    <row r="350" spans="1:11" x14ac:dyDescent="0.3">
      <c r="A350" s="90" t="s">
        <v>540</v>
      </c>
      <c r="B350" s="91"/>
      <c r="C350" s="91"/>
      <c r="D350" s="91"/>
      <c r="E350" s="91"/>
      <c r="F350" s="91"/>
      <c r="G350" s="91"/>
      <c r="H350" s="92">
        <f>H305+H310+H320+H324+H329+H336+H348</f>
        <v>19165.164577674899</v>
      </c>
      <c r="I350" s="92">
        <f>I305+I310+I320+I324+I329+I336+I348</f>
        <v>14701.835339506175</v>
      </c>
      <c r="J350" s="92">
        <f>H350+I350</f>
        <v>33866.999917181078</v>
      </c>
      <c r="K350" s="91"/>
    </row>
    <row r="352" spans="1:11" x14ac:dyDescent="0.3">
      <c r="A352" s="6" t="s">
        <v>541</v>
      </c>
    </row>
    <row r="353" spans="1:11" x14ac:dyDescent="0.3">
      <c r="A353" s="16" t="s">
        <v>542</v>
      </c>
      <c r="B353" s="20"/>
      <c r="C353" s="20"/>
      <c r="D353" s="20"/>
      <c r="E353" s="20"/>
      <c r="F353" s="20"/>
      <c r="G353" s="20"/>
      <c r="H353" s="88">
        <f>SUMIFS(H294:H349,$D$294:$D$349,"Material",$E$294:$E$349,"Plant")</f>
        <v>13902.153762860085</v>
      </c>
      <c r="I353" s="88">
        <f>SUMIFS(I294:I349,$D$294:$D$349,"Labor",$E$294:$E$349,"Plant")</f>
        <v>8382.0344135802479</v>
      </c>
      <c r="J353" s="88">
        <f>H353+I353</f>
        <v>22284.188176440333</v>
      </c>
      <c r="K353" s="93" t="s">
        <v>543</v>
      </c>
    </row>
    <row r="354" spans="1:11" x14ac:dyDescent="0.3">
      <c r="A354" s="6" t="s">
        <v>544</v>
      </c>
      <c r="B354" s="94">
        <f>SUMIFS(B294:B349,$D$294:$D$349,"Labor",$E$294:$E$349,"Plant")</f>
        <v>239.48669753086421</v>
      </c>
      <c r="C354" s="2" t="s">
        <v>261</v>
      </c>
      <c r="K354" s="2" t="s">
        <v>545</v>
      </c>
    </row>
    <row r="355" spans="1:11" x14ac:dyDescent="0.3">
      <c r="A355" s="16" t="s">
        <v>546</v>
      </c>
      <c r="B355" s="20"/>
      <c r="C355" s="20"/>
      <c r="D355" s="20"/>
      <c r="E355" s="20"/>
      <c r="F355" s="20"/>
      <c r="G355" s="20"/>
      <c r="H355" s="88">
        <f>SUMIFS(H294:H349,$D$294:$D$349,"Material",$E$294:$E$349,"Site")</f>
        <v>5263.0108148148156</v>
      </c>
      <c r="I355" s="88">
        <f>SUMIFS(I294:I349,$D$294:$D$349,"Labor",$E$294:$E$349,"Site")</f>
        <v>6319.8009259259261</v>
      </c>
      <c r="J355" s="88">
        <f>H355+I355</f>
        <v>11582.811740740741</v>
      </c>
      <c r="K355" s="93" t="s">
        <v>547</v>
      </c>
    </row>
    <row r="356" spans="1:11" x14ac:dyDescent="0.3">
      <c r="A356" s="2" t="s">
        <v>548</v>
      </c>
      <c r="J356" s="95">
        <f>$J$353+$J$355-$J$350</f>
        <v>0</v>
      </c>
    </row>
    <row r="358" spans="1:11" x14ac:dyDescent="0.3">
      <c r="A358" s="21" t="s">
        <v>549</v>
      </c>
      <c r="J358" s="59">
        <f>Manufacturing!$B$38+$J$355*(1+$B$88)</f>
        <v>46666.719652469139</v>
      </c>
      <c r="K358" s="2" t="s">
        <v>550</v>
      </c>
    </row>
    <row r="359" spans="1:11" x14ac:dyDescent="0.3">
      <c r="A359" s="21" t="s">
        <v>551</v>
      </c>
      <c r="J359" s="96">
        <f>$J$358/$B$103</f>
        <v>1372.5505780137983</v>
      </c>
    </row>
    <row r="360" spans="1:11" x14ac:dyDescent="0.3">
      <c r="A360" s="21" t="s">
        <v>552</v>
      </c>
      <c r="J360" s="22">
        <f>$J$358/$B$118</f>
        <v>31.963506611280231</v>
      </c>
    </row>
    <row r="361" spans="1:11" x14ac:dyDescent="0.3">
      <c r="A361" s="21" t="s">
        <v>553</v>
      </c>
      <c r="J361" s="22">
        <f>$J$358/$B$120</f>
        <v>39.536898886587799</v>
      </c>
    </row>
    <row r="362" spans="1:11" x14ac:dyDescent="0.3">
      <c r="A362" s="2" t="s">
        <v>554</v>
      </c>
    </row>
    <row r="363" spans="1:11" x14ac:dyDescent="0.3">
      <c r="A363" s="2" t="s">
        <v>555</v>
      </c>
    </row>
  </sheetData>
  <dataValidations count="1">
    <dataValidation type="list" allowBlank="1" sqref="E294:E349" xr:uid="{00000000-0002-0000-0100-000000000000}">
      <formula1>"Plant,Site"</formula1>
    </dataValidation>
  </dataValidations>
  <hyperlinks>
    <hyperlink ref="H4" location="'Summary'!A1" display="← Summary" xr:uid="{00000000-0004-0000-0100-00000000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34"/>
  <sheetViews>
    <sheetView showGridLines="0" workbookViewId="0">
      <pane ySplit="4" topLeftCell="A5" activePane="bottomLeft" state="frozen"/>
      <selection pane="bottomLeft"/>
    </sheetView>
  </sheetViews>
  <sheetFormatPr defaultRowHeight="14.4" x14ac:dyDescent="0.3"/>
  <cols>
    <col min="1" max="1" width="46" customWidth="1"/>
    <col min="2" max="2" width="14" customWidth="1"/>
    <col min="3" max="3" width="12" customWidth="1"/>
    <col min="4" max="4" width="14" customWidth="1"/>
    <col min="5" max="5" width="12" customWidth="1"/>
    <col min="6" max="6" width="34" customWidth="1"/>
    <col min="7" max="7" width="12" customWidth="1"/>
    <col min="8" max="10" width="13" customWidth="1"/>
    <col min="11" max="11" width="60" customWidth="1"/>
  </cols>
  <sheetData>
    <row r="1" spans="1:11" ht="17.399999999999999" x14ac:dyDescent="0.3">
      <c r="A1" s="60" t="s">
        <v>556</v>
      </c>
    </row>
    <row r="2" spans="1:11" ht="58.05" customHeight="1" x14ac:dyDescent="0.3">
      <c r="A2" s="125" t="s">
        <v>557</v>
      </c>
      <c r="B2" s="126"/>
      <c r="C2" s="126"/>
      <c r="D2" s="126"/>
      <c r="E2" s="126"/>
      <c r="F2" s="126"/>
      <c r="G2" s="126"/>
      <c r="H2" s="126"/>
      <c r="I2" s="126"/>
      <c r="J2" s="126"/>
    </row>
    <row r="3" spans="1:11" x14ac:dyDescent="0.3">
      <c r="A3" s="3" t="s">
        <v>127</v>
      </c>
    </row>
    <row r="5" spans="1:11" x14ac:dyDescent="0.3">
      <c r="A5" s="4" t="s">
        <v>558</v>
      </c>
      <c r="B5" s="5"/>
      <c r="C5" s="5"/>
      <c r="D5" s="5"/>
      <c r="E5" s="5"/>
      <c r="F5" s="5"/>
      <c r="G5" s="5"/>
      <c r="H5" s="5"/>
      <c r="I5" s="5"/>
      <c r="J5" s="5"/>
      <c r="K5" s="5"/>
    </row>
    <row r="6" spans="1:11" x14ac:dyDescent="0.3">
      <c r="A6" s="21" t="s">
        <v>10</v>
      </c>
      <c r="B6" s="72" t="str">
        <f>Summary!$B$6</f>
        <v>shed</v>
      </c>
      <c r="C6" s="2"/>
      <c r="D6" s="2" t="s">
        <v>559</v>
      </c>
    </row>
    <row r="8" spans="1:11" x14ac:dyDescent="0.3">
      <c r="A8" s="11" t="s">
        <v>560</v>
      </c>
      <c r="B8" s="11" t="s">
        <v>561</v>
      </c>
      <c r="C8" s="11" t="s">
        <v>419</v>
      </c>
      <c r="D8" s="11" t="s">
        <v>11</v>
      </c>
      <c r="E8" s="11" t="s">
        <v>562</v>
      </c>
      <c r="F8" s="11" t="s">
        <v>563</v>
      </c>
      <c r="G8" s="11" t="s">
        <v>564</v>
      </c>
    </row>
    <row r="9" spans="1:11" x14ac:dyDescent="0.3">
      <c r="A9" s="21" t="s">
        <v>565</v>
      </c>
      <c r="B9" s="84">
        <f t="shared" ref="B9:B19" si="0">IF($B$6="shed",D9,IF($B$6="flat",E9,F9))</f>
        <v>150</v>
      </c>
      <c r="C9" s="2" t="s">
        <v>152</v>
      </c>
      <c r="D9" s="71">
        <v>150</v>
      </c>
      <c r="E9" s="71">
        <v>120</v>
      </c>
      <c r="F9" s="71">
        <v>120</v>
      </c>
      <c r="G9" s="2" t="s">
        <v>566</v>
      </c>
    </row>
    <row r="10" spans="1:11" x14ac:dyDescent="0.3">
      <c r="A10" s="21" t="s">
        <v>567</v>
      </c>
      <c r="B10" s="74">
        <f t="shared" si="0"/>
        <v>1</v>
      </c>
      <c r="C10" s="2" t="s">
        <v>568</v>
      </c>
      <c r="D10" s="97">
        <v>1</v>
      </c>
      <c r="E10" s="97">
        <v>0</v>
      </c>
      <c r="F10" s="97">
        <v>0</v>
      </c>
      <c r="G10" s="2" t="s">
        <v>569</v>
      </c>
    </row>
    <row r="11" spans="1:11" x14ac:dyDescent="0.3">
      <c r="A11" s="21" t="s">
        <v>570</v>
      </c>
      <c r="B11" s="98">
        <f t="shared" si="0"/>
        <v>1</v>
      </c>
      <c r="C11" s="2" t="s">
        <v>571</v>
      </c>
      <c r="D11" s="99">
        <v>1</v>
      </c>
      <c r="E11" s="99">
        <v>6.25E-2</v>
      </c>
      <c r="F11" s="99">
        <v>4</v>
      </c>
      <c r="G11" s="2" t="s">
        <v>572</v>
      </c>
    </row>
    <row r="12" spans="1:11" x14ac:dyDescent="0.3">
      <c r="A12" s="21" t="s">
        <v>573</v>
      </c>
      <c r="B12" s="84">
        <f t="shared" si="0"/>
        <v>24</v>
      </c>
      <c r="C12" s="2" t="s">
        <v>152</v>
      </c>
      <c r="D12" s="71">
        <v>24</v>
      </c>
      <c r="E12" s="71">
        <v>12</v>
      </c>
      <c r="F12" s="71">
        <v>24</v>
      </c>
      <c r="G12" s="2" t="s">
        <v>574</v>
      </c>
    </row>
    <row r="13" spans="1:11" x14ac:dyDescent="0.3">
      <c r="A13" s="21" t="s">
        <v>575</v>
      </c>
      <c r="B13" s="84">
        <f t="shared" si="0"/>
        <v>12</v>
      </c>
      <c r="C13" s="2" t="s">
        <v>152</v>
      </c>
      <c r="D13" s="71">
        <v>12</v>
      </c>
      <c r="E13" s="71">
        <v>12</v>
      </c>
      <c r="F13" s="71">
        <v>24</v>
      </c>
      <c r="G13" s="2" t="s">
        <v>576</v>
      </c>
    </row>
    <row r="14" spans="1:11" x14ac:dyDescent="0.3">
      <c r="A14" s="21" t="s">
        <v>577</v>
      </c>
      <c r="B14" s="74">
        <f t="shared" si="0"/>
        <v>3</v>
      </c>
      <c r="C14" s="2" t="s">
        <v>147</v>
      </c>
      <c r="D14" s="97">
        <v>3</v>
      </c>
      <c r="E14" s="97">
        <v>3</v>
      </c>
      <c r="F14" s="97">
        <v>6</v>
      </c>
      <c r="G14" s="2" t="s">
        <v>578</v>
      </c>
    </row>
    <row r="15" spans="1:11" x14ac:dyDescent="0.3">
      <c r="A15" s="21" t="s">
        <v>579</v>
      </c>
      <c r="B15" s="84">
        <f t="shared" si="0"/>
        <v>0</v>
      </c>
      <c r="C15" s="2" t="s">
        <v>152</v>
      </c>
      <c r="D15" s="71">
        <v>0</v>
      </c>
      <c r="E15" s="71">
        <v>0</v>
      </c>
      <c r="F15" s="71">
        <v>191.5</v>
      </c>
      <c r="G15" s="2" t="s">
        <v>580</v>
      </c>
    </row>
    <row r="16" spans="1:11" x14ac:dyDescent="0.3">
      <c r="A16" s="21" t="s">
        <v>581</v>
      </c>
      <c r="B16" s="84" t="str">
        <f t="shared" si="0"/>
        <v>800S162-68</v>
      </c>
      <c r="C16" s="2"/>
      <c r="D16" s="71" t="s">
        <v>582</v>
      </c>
      <c r="E16" s="71" t="s">
        <v>582</v>
      </c>
      <c r="F16" s="71" t="s">
        <v>583</v>
      </c>
      <c r="G16" s="2" t="s">
        <v>584</v>
      </c>
    </row>
    <row r="17" spans="1:11" x14ac:dyDescent="0.3">
      <c r="A17" s="21" t="s">
        <v>585</v>
      </c>
      <c r="B17" s="84">
        <f t="shared" si="0"/>
        <v>8</v>
      </c>
      <c r="C17" s="2" t="s">
        <v>152</v>
      </c>
      <c r="D17" s="71">
        <v>8</v>
      </c>
      <c r="E17" s="71">
        <v>8</v>
      </c>
      <c r="F17" s="71">
        <v>10</v>
      </c>
      <c r="G17" s="2" t="s">
        <v>586</v>
      </c>
    </row>
    <row r="18" spans="1:11" x14ac:dyDescent="0.3">
      <c r="A18" s="21" t="s">
        <v>587</v>
      </c>
      <c r="B18" s="84">
        <f t="shared" si="0"/>
        <v>1.625</v>
      </c>
      <c r="C18" s="2" t="s">
        <v>152</v>
      </c>
      <c r="D18" s="71">
        <v>1.625</v>
      </c>
      <c r="E18" s="71">
        <v>1.625</v>
      </c>
      <c r="F18" s="71">
        <v>2</v>
      </c>
      <c r="G18" s="2" t="s">
        <v>588</v>
      </c>
    </row>
    <row r="19" spans="1:11" x14ac:dyDescent="0.3">
      <c r="A19" s="21" t="s">
        <v>589</v>
      </c>
      <c r="B19" s="74">
        <f t="shared" si="0"/>
        <v>68</v>
      </c>
      <c r="C19" s="2" t="s">
        <v>590</v>
      </c>
      <c r="D19" s="97">
        <v>68</v>
      </c>
      <c r="E19" s="97">
        <v>68</v>
      </c>
      <c r="F19" s="97">
        <v>97</v>
      </c>
      <c r="G19" s="2" t="s">
        <v>591</v>
      </c>
    </row>
    <row r="21" spans="1:11" x14ac:dyDescent="0.3">
      <c r="A21" s="4" t="s">
        <v>592</v>
      </c>
      <c r="B21" s="5"/>
      <c r="C21" s="5"/>
      <c r="D21" s="5"/>
      <c r="E21" s="5"/>
      <c r="F21" s="5"/>
      <c r="G21" s="5"/>
      <c r="H21" s="5"/>
      <c r="I21" s="5"/>
      <c r="J21" s="5"/>
      <c r="K21" s="5"/>
    </row>
    <row r="22" spans="1:11" x14ac:dyDescent="0.3">
      <c r="A22" s="21" t="s">
        <v>593</v>
      </c>
      <c r="B22" s="72">
        <f>Walls!$B$16</f>
        <v>10</v>
      </c>
      <c r="C22" s="2" t="s">
        <v>147</v>
      </c>
      <c r="D22" s="2" t="s">
        <v>594</v>
      </c>
    </row>
    <row r="23" spans="1:11" x14ac:dyDescent="0.3">
      <c r="A23" s="21" t="s">
        <v>295</v>
      </c>
      <c r="B23" s="72">
        <f>Walls!$B$113</f>
        <v>480</v>
      </c>
      <c r="C23" s="2" t="s">
        <v>152</v>
      </c>
      <c r="D23" s="2" t="s">
        <v>594</v>
      </c>
    </row>
    <row r="24" spans="1:11" x14ac:dyDescent="0.3">
      <c r="A24" s="21" t="s">
        <v>296</v>
      </c>
      <c r="B24" s="72">
        <f>Walls!$B$114</f>
        <v>359</v>
      </c>
      <c r="C24" s="2" t="s">
        <v>152</v>
      </c>
      <c r="D24" s="2" t="s">
        <v>594</v>
      </c>
    </row>
    <row r="25" spans="1:11" x14ac:dyDescent="0.3">
      <c r="A25" s="21" t="s">
        <v>291</v>
      </c>
      <c r="B25" s="72">
        <f>Walls!$B$111</f>
        <v>11.5</v>
      </c>
      <c r="C25" s="2" t="s">
        <v>152</v>
      </c>
      <c r="D25" s="2" t="s">
        <v>594</v>
      </c>
    </row>
    <row r="26" spans="1:11" x14ac:dyDescent="0.3">
      <c r="A26" s="21" t="s">
        <v>161</v>
      </c>
      <c r="B26" s="72">
        <f>Walls!$B$23</f>
        <v>1.5</v>
      </c>
      <c r="C26" s="2" t="s">
        <v>152</v>
      </c>
      <c r="D26" s="2" t="s">
        <v>594</v>
      </c>
    </row>
    <row r="27" spans="1:11" x14ac:dyDescent="0.3">
      <c r="A27" s="21" t="s">
        <v>172</v>
      </c>
      <c r="B27" s="72">
        <f>Walls!$B$29</f>
        <v>48</v>
      </c>
      <c r="C27" s="2" t="s">
        <v>152</v>
      </c>
      <c r="D27" s="2" t="s">
        <v>594</v>
      </c>
    </row>
    <row r="28" spans="1:11" x14ac:dyDescent="0.3">
      <c r="A28" s="21" t="s">
        <v>174</v>
      </c>
      <c r="B28" s="72">
        <f>Walls!$B$30</f>
        <v>12</v>
      </c>
      <c r="C28" s="2" t="s">
        <v>152</v>
      </c>
      <c r="D28" s="2" t="s">
        <v>594</v>
      </c>
    </row>
    <row r="29" spans="1:11" x14ac:dyDescent="0.3">
      <c r="A29" s="21" t="s">
        <v>595</v>
      </c>
      <c r="B29" s="72">
        <f>Walls!$B$44</f>
        <v>10</v>
      </c>
      <c r="C29" s="2" t="s">
        <v>147</v>
      </c>
      <c r="D29" s="2" t="s">
        <v>594</v>
      </c>
    </row>
    <row r="30" spans="1:11" x14ac:dyDescent="0.3">
      <c r="A30" s="21" t="s">
        <v>596</v>
      </c>
      <c r="B30" s="72">
        <f>Walls!$B$45</f>
        <v>40</v>
      </c>
      <c r="C30" s="2" t="s">
        <v>152</v>
      </c>
      <c r="D30" s="2" t="s">
        <v>594</v>
      </c>
    </row>
    <row r="31" spans="1:11" x14ac:dyDescent="0.3">
      <c r="A31" s="21" t="s">
        <v>597</v>
      </c>
      <c r="B31" s="72">
        <f>Walls!$B$46</f>
        <v>24</v>
      </c>
      <c r="C31" s="2" t="s">
        <v>152</v>
      </c>
      <c r="D31" s="2" t="s">
        <v>594</v>
      </c>
    </row>
    <row r="32" spans="1:11" x14ac:dyDescent="0.3">
      <c r="A32" s="21" t="s">
        <v>598</v>
      </c>
      <c r="B32" s="77">
        <f>Walls!$B$81</f>
        <v>0.1</v>
      </c>
      <c r="C32" s="2" t="s">
        <v>240</v>
      </c>
      <c r="D32" s="2" t="s">
        <v>594</v>
      </c>
    </row>
    <row r="33" spans="1:11" x14ac:dyDescent="0.3">
      <c r="A33" s="21" t="s">
        <v>599</v>
      </c>
      <c r="B33" s="77">
        <f>Walls!$B$84</f>
        <v>0.1</v>
      </c>
      <c r="C33" s="2" t="s">
        <v>240</v>
      </c>
      <c r="D33" s="2" t="s">
        <v>594</v>
      </c>
    </row>
    <row r="34" spans="1:11" x14ac:dyDescent="0.3">
      <c r="A34" s="21" t="s">
        <v>242</v>
      </c>
      <c r="B34" s="77">
        <f>Walls!$B$82</f>
        <v>0.1</v>
      </c>
      <c r="C34" s="2" t="s">
        <v>240</v>
      </c>
      <c r="D34" s="2" t="s">
        <v>594</v>
      </c>
    </row>
    <row r="35" spans="1:11" x14ac:dyDescent="0.3">
      <c r="A35" s="21" t="s">
        <v>257</v>
      </c>
      <c r="B35" s="32">
        <f>Walls!$B$91</f>
        <v>35</v>
      </c>
      <c r="C35" s="2" t="s">
        <v>258</v>
      </c>
      <c r="D35" s="2" t="s">
        <v>594</v>
      </c>
    </row>
    <row r="36" spans="1:11" x14ac:dyDescent="0.3">
      <c r="A36" s="21" t="s">
        <v>178</v>
      </c>
      <c r="B36" s="72">
        <f>Walls!$B$32</f>
        <v>2</v>
      </c>
      <c r="C36" s="2" t="s">
        <v>147</v>
      </c>
      <c r="D36" s="2" t="s">
        <v>594</v>
      </c>
    </row>
    <row r="37" spans="1:11" x14ac:dyDescent="0.3">
      <c r="A37" s="21" t="s">
        <v>600</v>
      </c>
      <c r="B37" s="32">
        <f>Walls!$B$78</f>
        <v>200</v>
      </c>
      <c r="C37" s="2" t="s">
        <v>232</v>
      </c>
      <c r="D37" s="2" t="s">
        <v>594</v>
      </c>
    </row>
    <row r="38" spans="1:11" x14ac:dyDescent="0.3">
      <c r="A38" s="21" t="s">
        <v>601</v>
      </c>
      <c r="B38" s="32">
        <f>Walls!$B$79</f>
        <v>20</v>
      </c>
      <c r="C38" s="2" t="s">
        <v>232</v>
      </c>
      <c r="D38" s="2" t="s">
        <v>594</v>
      </c>
    </row>
    <row r="40" spans="1:11" x14ac:dyDescent="0.3">
      <c r="A40" s="4" t="s">
        <v>602</v>
      </c>
      <c r="B40" s="5"/>
      <c r="C40" s="5"/>
      <c r="D40" s="5"/>
      <c r="E40" s="5"/>
      <c r="F40" s="5"/>
      <c r="G40" s="5"/>
      <c r="H40" s="5"/>
      <c r="I40" s="5"/>
      <c r="J40" s="5"/>
      <c r="K40" s="5"/>
    </row>
    <row r="41" spans="1:11" x14ac:dyDescent="0.3">
      <c r="A41" s="21" t="s">
        <v>603</v>
      </c>
      <c r="B41" s="71">
        <v>16</v>
      </c>
      <c r="C41" s="2" t="s">
        <v>169</v>
      </c>
      <c r="D41" s="2" t="s">
        <v>604</v>
      </c>
    </row>
    <row r="42" spans="1:11" x14ac:dyDescent="0.3">
      <c r="A42" s="21" t="s">
        <v>605</v>
      </c>
      <c r="B42" s="71">
        <v>2</v>
      </c>
      <c r="C42" s="2" t="s">
        <v>152</v>
      </c>
      <c r="D42" s="2" t="s">
        <v>606</v>
      </c>
    </row>
    <row r="43" spans="1:11" x14ac:dyDescent="0.3">
      <c r="A43" s="21" t="s">
        <v>607</v>
      </c>
      <c r="B43" s="71">
        <v>6.5</v>
      </c>
      <c r="C43" s="2" t="s">
        <v>152</v>
      </c>
      <c r="D43" s="2" t="s">
        <v>608</v>
      </c>
    </row>
    <row r="44" spans="1:11" x14ac:dyDescent="0.3">
      <c r="A44" s="21" t="s">
        <v>609</v>
      </c>
      <c r="B44" s="71">
        <v>2</v>
      </c>
      <c r="C44" s="2" t="s">
        <v>152</v>
      </c>
      <c r="D44" s="2" t="s">
        <v>610</v>
      </c>
    </row>
    <row r="45" spans="1:11" x14ac:dyDescent="0.3">
      <c r="A45" s="21" t="s">
        <v>611</v>
      </c>
      <c r="B45" s="71">
        <v>35</v>
      </c>
      <c r="C45" s="2" t="s">
        <v>224</v>
      </c>
      <c r="D45" s="2" t="s">
        <v>612</v>
      </c>
    </row>
    <row r="46" spans="1:11" x14ac:dyDescent="0.3">
      <c r="A46" s="21" t="s">
        <v>613</v>
      </c>
      <c r="B46" s="71">
        <v>4</v>
      </c>
      <c r="C46" s="2" t="s">
        <v>614</v>
      </c>
      <c r="D46" s="2" t="s">
        <v>615</v>
      </c>
    </row>
    <row r="47" spans="1:11" x14ac:dyDescent="0.3">
      <c r="A47" s="21" t="s">
        <v>616</v>
      </c>
      <c r="B47" s="71">
        <v>8</v>
      </c>
      <c r="C47" s="2" t="s">
        <v>147</v>
      </c>
      <c r="D47" s="2" t="s">
        <v>617</v>
      </c>
    </row>
    <row r="48" spans="1:11" x14ac:dyDescent="0.3">
      <c r="A48" s="21" t="s">
        <v>618</v>
      </c>
      <c r="B48" s="71">
        <v>12</v>
      </c>
      <c r="C48" s="2" t="s">
        <v>152</v>
      </c>
      <c r="D48" s="2" t="s">
        <v>619</v>
      </c>
    </row>
    <row r="50" spans="1:11" x14ac:dyDescent="0.3">
      <c r="A50" s="4" t="s">
        <v>620</v>
      </c>
      <c r="B50" s="5"/>
      <c r="C50" s="5"/>
      <c r="D50" s="5"/>
      <c r="E50" s="5"/>
      <c r="F50" s="5"/>
      <c r="G50" s="5"/>
      <c r="H50" s="5"/>
      <c r="I50" s="5"/>
      <c r="J50" s="5"/>
      <c r="K50" s="5"/>
    </row>
    <row r="51" spans="1:11" x14ac:dyDescent="0.3">
      <c r="A51" s="21" t="s">
        <v>621</v>
      </c>
      <c r="B51" s="76">
        <v>2.42</v>
      </c>
      <c r="C51" s="2" t="s">
        <v>622</v>
      </c>
      <c r="D51" s="2" t="s">
        <v>623</v>
      </c>
    </row>
    <row r="52" spans="1:11" x14ac:dyDescent="0.3">
      <c r="A52" s="21" t="s">
        <v>624</v>
      </c>
      <c r="B52" s="76">
        <v>3.1</v>
      </c>
      <c r="C52" s="2" t="s">
        <v>622</v>
      </c>
      <c r="D52" s="2" t="s">
        <v>625</v>
      </c>
    </row>
    <row r="53" spans="1:11" x14ac:dyDescent="0.3">
      <c r="A53" s="21" t="s">
        <v>626</v>
      </c>
      <c r="B53" s="89">
        <f>IF($B$6="gable",$B$52,$B$51)</f>
        <v>2.42</v>
      </c>
      <c r="C53" s="2" t="s">
        <v>622</v>
      </c>
      <c r="D53" s="2" t="s">
        <v>627</v>
      </c>
    </row>
    <row r="55" spans="1:11" x14ac:dyDescent="0.3">
      <c r="A55" s="4" t="s">
        <v>628</v>
      </c>
      <c r="B55" s="5"/>
      <c r="C55" s="5"/>
      <c r="D55" s="5"/>
      <c r="E55" s="5"/>
      <c r="F55" s="5"/>
      <c r="G55" s="5"/>
      <c r="H55" s="5"/>
      <c r="I55" s="5"/>
      <c r="J55" s="5"/>
      <c r="K55" s="5"/>
    </row>
    <row r="56" spans="1:11" x14ac:dyDescent="0.3">
      <c r="A56" s="21" t="s">
        <v>629</v>
      </c>
      <c r="B56" s="78">
        <v>0.12</v>
      </c>
      <c r="C56" s="2" t="s">
        <v>630</v>
      </c>
      <c r="D56" s="2" t="s">
        <v>631</v>
      </c>
    </row>
    <row r="57" spans="1:11" x14ac:dyDescent="0.3">
      <c r="A57" s="21" t="s">
        <v>632</v>
      </c>
      <c r="B57" s="78">
        <v>0.03</v>
      </c>
      <c r="C57" s="2" t="s">
        <v>630</v>
      </c>
      <c r="D57" s="2"/>
    </row>
    <row r="58" spans="1:11" x14ac:dyDescent="0.3">
      <c r="A58" s="21" t="s">
        <v>633</v>
      </c>
      <c r="B58" s="79">
        <v>1.5</v>
      </c>
      <c r="C58" s="2" t="s">
        <v>270</v>
      </c>
      <c r="D58" s="2" t="s">
        <v>634</v>
      </c>
    </row>
    <row r="59" spans="1:11" x14ac:dyDescent="0.3">
      <c r="A59" s="21" t="s">
        <v>635</v>
      </c>
      <c r="B59" s="79">
        <v>2</v>
      </c>
      <c r="C59" s="2" t="s">
        <v>270</v>
      </c>
      <c r="D59" s="2" t="s">
        <v>636</v>
      </c>
    </row>
    <row r="60" spans="1:11" x14ac:dyDescent="0.3">
      <c r="A60" s="21" t="s">
        <v>637</v>
      </c>
      <c r="B60" s="7">
        <v>32</v>
      </c>
      <c r="C60" s="2" t="s">
        <v>261</v>
      </c>
      <c r="D60" s="2" t="s">
        <v>638</v>
      </c>
    </row>
    <row r="62" spans="1:11" x14ac:dyDescent="0.3">
      <c r="A62" s="4" t="s">
        <v>639</v>
      </c>
      <c r="B62" s="5"/>
      <c r="C62" s="5"/>
      <c r="D62" s="5"/>
      <c r="E62" s="5"/>
      <c r="F62" s="5"/>
      <c r="G62" s="5"/>
      <c r="H62" s="5"/>
      <c r="I62" s="5"/>
      <c r="J62" s="5"/>
      <c r="K62" s="5"/>
    </row>
    <row r="63" spans="1:11" x14ac:dyDescent="0.3">
      <c r="A63" s="21" t="s">
        <v>640</v>
      </c>
      <c r="B63" s="80">
        <f>$B$23+2*$B$48</f>
        <v>504</v>
      </c>
      <c r="C63" s="2" t="s">
        <v>152</v>
      </c>
      <c r="D63" s="2" t="s">
        <v>641</v>
      </c>
    </row>
    <row r="64" spans="1:11" x14ac:dyDescent="0.3">
      <c r="A64" s="21" t="s">
        <v>642</v>
      </c>
      <c r="B64" s="80">
        <f>$B$24+$B$12+$B$13</f>
        <v>395</v>
      </c>
      <c r="C64" s="2" t="s">
        <v>152</v>
      </c>
      <c r="D64" s="2" t="s">
        <v>643</v>
      </c>
    </row>
    <row r="65" spans="1:4" x14ac:dyDescent="0.3">
      <c r="A65" s="21" t="s">
        <v>644</v>
      </c>
      <c r="B65" s="74">
        <f>IF($B$6="gable",2,1)</f>
        <v>1</v>
      </c>
      <c r="C65" s="2" t="s">
        <v>147</v>
      </c>
      <c r="D65" s="2" t="s">
        <v>645</v>
      </c>
    </row>
    <row r="66" spans="1:4" x14ac:dyDescent="0.3">
      <c r="A66" s="21" t="s">
        <v>646</v>
      </c>
      <c r="B66" s="74">
        <f>IF($B$6="gable",INT($B$14/2),$B$14)</f>
        <v>3</v>
      </c>
      <c r="C66" s="2" t="s">
        <v>147</v>
      </c>
      <c r="D66" s="2" t="s">
        <v>647</v>
      </c>
    </row>
    <row r="67" spans="1:4" x14ac:dyDescent="0.3">
      <c r="A67" s="21" t="s">
        <v>648</v>
      </c>
      <c r="B67" s="98">
        <f>IF($B$6="flat",1,SQRT(1+($B$11/12)^2))</f>
        <v>1.0034662148993578</v>
      </c>
      <c r="C67" s="2"/>
      <c r="D67" s="2" t="s">
        <v>649</v>
      </c>
    </row>
    <row r="68" spans="1:4" x14ac:dyDescent="0.3">
      <c r="A68" s="21" t="s">
        <v>650</v>
      </c>
      <c r="B68" s="80">
        <f>IF($B$6="shed",$B$24/12*$B$11,0)</f>
        <v>29.916666666666668</v>
      </c>
      <c r="C68" s="2" t="s">
        <v>152</v>
      </c>
      <c r="D68" s="2" t="s">
        <v>651</v>
      </c>
    </row>
    <row r="69" spans="1:4" x14ac:dyDescent="0.3">
      <c r="A69" s="21" t="s">
        <v>652</v>
      </c>
      <c r="B69" s="80">
        <f>IF($B$6="flat",($B$64/12*$B$11)/2,0)</f>
        <v>0</v>
      </c>
      <c r="C69" s="2" t="s">
        <v>152</v>
      </c>
      <c r="D69" s="2" t="s">
        <v>653</v>
      </c>
    </row>
    <row r="70" spans="1:4" x14ac:dyDescent="0.3">
      <c r="A70" s="21" t="s">
        <v>654</v>
      </c>
      <c r="B70" s="80">
        <f>IF($B$6="gable",$B$15+$B$12,0)</f>
        <v>0</v>
      </c>
      <c r="C70" s="2" t="s">
        <v>152</v>
      </c>
      <c r="D70" s="2" t="s">
        <v>655</v>
      </c>
    </row>
    <row r="71" spans="1:4" x14ac:dyDescent="0.3">
      <c r="A71" s="21" t="s">
        <v>656</v>
      </c>
      <c r="B71" s="80">
        <f>IF($B$6="gable",$B$24-$B$15+$B$13,0)</f>
        <v>0</v>
      </c>
      <c r="C71" s="2" t="s">
        <v>152</v>
      </c>
      <c r="D71" s="2" t="s">
        <v>657</v>
      </c>
    </row>
    <row r="72" spans="1:4" x14ac:dyDescent="0.3">
      <c r="A72" s="21" t="s">
        <v>658</v>
      </c>
      <c r="B72" s="80">
        <f>IF($B$6="gable",$B$11/12*$B$70,0)</f>
        <v>0</v>
      </c>
      <c r="C72" s="2" t="s">
        <v>152</v>
      </c>
      <c r="D72" s="2" t="s">
        <v>659</v>
      </c>
    </row>
    <row r="73" spans="1:4" x14ac:dyDescent="0.3">
      <c r="A73" s="21" t="s">
        <v>660</v>
      </c>
      <c r="B73" s="82">
        <f>IF($B$6="gable",$B$72/($B$71/12),0)</f>
        <v>0</v>
      </c>
      <c r="C73" s="2" t="s">
        <v>571</v>
      </c>
      <c r="D73" s="2" t="s">
        <v>661</v>
      </c>
    </row>
    <row r="74" spans="1:4" x14ac:dyDescent="0.3">
      <c r="A74" s="21" t="s">
        <v>662</v>
      </c>
      <c r="B74" s="80">
        <f>$B$63/$B$66</f>
        <v>168</v>
      </c>
      <c r="C74" s="2" t="s">
        <v>152</v>
      </c>
      <c r="D74" s="2" t="s">
        <v>663</v>
      </c>
    </row>
    <row r="75" spans="1:4" x14ac:dyDescent="0.3">
      <c r="A75" s="21" t="s">
        <v>664</v>
      </c>
      <c r="B75" s="80">
        <f>IF($B$6="gable",$B$70*$B$67,$B$64*$B$67)</f>
        <v>396.36915488524636</v>
      </c>
      <c r="C75" s="2" t="s">
        <v>152</v>
      </c>
      <c r="D75" s="2" t="s">
        <v>665</v>
      </c>
    </row>
    <row r="76" spans="1:4" x14ac:dyDescent="0.3">
      <c r="A76" s="21" t="s">
        <v>666</v>
      </c>
      <c r="B76" s="80">
        <f>IF($B$6="gable",SQRT($B$71^2+$B$72^2),0)</f>
        <v>0</v>
      </c>
      <c r="C76" s="2" t="s">
        <v>152</v>
      </c>
      <c r="D76" s="2" t="s">
        <v>667</v>
      </c>
    </row>
    <row r="77" spans="1:4" x14ac:dyDescent="0.3">
      <c r="A77" s="21" t="s">
        <v>103</v>
      </c>
      <c r="B77" s="81">
        <f>$B$63*($B$75+$B$76)/144</f>
        <v>1387.2920420983621</v>
      </c>
      <c r="C77" s="2" t="s">
        <v>302</v>
      </c>
      <c r="D77" s="2" t="s">
        <v>668</v>
      </c>
    </row>
    <row r="78" spans="1:4" x14ac:dyDescent="0.3">
      <c r="A78" s="21" t="s">
        <v>669</v>
      </c>
      <c r="B78" s="74">
        <f>INT(($B$74-$B$18)/$B$41)+2</f>
        <v>12</v>
      </c>
      <c r="C78" s="2" t="s">
        <v>147</v>
      </c>
      <c r="D78" s="2" t="s">
        <v>670</v>
      </c>
    </row>
    <row r="79" spans="1:4" x14ac:dyDescent="0.3">
      <c r="A79" s="21" t="s">
        <v>671</v>
      </c>
      <c r="B79" s="74">
        <f>INT(($B$75-2*$B$28)/$B$27)+1+IF(MOD($B$75-2*$B$28,$B$27)&gt;0,1,0)</f>
        <v>9</v>
      </c>
      <c r="C79" s="2" t="s">
        <v>147</v>
      </c>
      <c r="D79" s="2" t="s">
        <v>672</v>
      </c>
    </row>
    <row r="80" spans="1:4" x14ac:dyDescent="0.3">
      <c r="A80" s="21" t="s">
        <v>673</v>
      </c>
      <c r="B80" s="74">
        <f>IF($B$6="gable",INT(($B$76-2*$B$28)/$B$27)+1+IF(MOD($B$76-2*$B$28,$B$27)&gt;0,1,0),0)</f>
        <v>0</v>
      </c>
      <c r="C80" s="2" t="s">
        <v>147</v>
      </c>
      <c r="D80" s="2" t="s">
        <v>674</v>
      </c>
    </row>
    <row r="81" spans="1:4" x14ac:dyDescent="0.3">
      <c r="A81" s="21" t="s">
        <v>675</v>
      </c>
      <c r="B81" s="80">
        <f>$B$42+$B$26+$B$17+$B$44</f>
        <v>13.5</v>
      </c>
      <c r="C81" s="2" t="s">
        <v>152</v>
      </c>
      <c r="D81" s="2" t="s">
        <v>676</v>
      </c>
    </row>
    <row r="82" spans="1:4" x14ac:dyDescent="0.3">
      <c r="A82" s="21" t="s">
        <v>677</v>
      </c>
      <c r="B82" s="80">
        <f>$B$81-$B$43</f>
        <v>7</v>
      </c>
      <c r="C82" s="2" t="s">
        <v>152</v>
      </c>
      <c r="D82" s="2" t="s">
        <v>678</v>
      </c>
    </row>
    <row r="83" spans="1:4" x14ac:dyDescent="0.3">
      <c r="A83" s="21" t="s">
        <v>111</v>
      </c>
      <c r="B83" s="81">
        <f>$B$66*$B$78*($B$75+$B$76)/12</f>
        <v>1189.107464655739</v>
      </c>
      <c r="C83" s="2" t="s">
        <v>299</v>
      </c>
      <c r="D83" s="2" t="s">
        <v>679</v>
      </c>
    </row>
    <row r="84" spans="1:4" x14ac:dyDescent="0.3">
      <c r="A84" s="21" t="s">
        <v>680</v>
      </c>
      <c r="B84" s="81">
        <f>$B$14*2*$B$74/12</f>
        <v>84</v>
      </c>
      <c r="C84" s="2" t="s">
        <v>299</v>
      </c>
      <c r="D84" s="2"/>
    </row>
    <row r="85" spans="1:4" x14ac:dyDescent="0.3">
      <c r="A85" s="21" t="s">
        <v>681</v>
      </c>
      <c r="B85" s="81">
        <f>$B$66*($B$79+$B$80)*$B$74/12</f>
        <v>378</v>
      </c>
      <c r="C85" s="2" t="s">
        <v>299</v>
      </c>
      <c r="D85" s="2" t="s">
        <v>682</v>
      </c>
    </row>
    <row r="86" spans="1:4" x14ac:dyDescent="0.3">
      <c r="A86" s="21" t="s">
        <v>683</v>
      </c>
      <c r="B86" s="74">
        <f>$B$66*($B$79+$B$80)*$B$78</f>
        <v>324</v>
      </c>
      <c r="C86" s="2" t="s">
        <v>147</v>
      </c>
      <c r="D86" s="2"/>
    </row>
    <row r="87" spans="1:4" x14ac:dyDescent="0.3">
      <c r="A87" s="21" t="s">
        <v>684</v>
      </c>
      <c r="B87" s="74">
        <f>$B$14*$B$47</f>
        <v>24</v>
      </c>
      <c r="C87" s="2" t="s">
        <v>147</v>
      </c>
      <c r="D87" s="2"/>
    </row>
    <row r="88" spans="1:4" x14ac:dyDescent="0.3">
      <c r="A88" s="21" t="s">
        <v>685</v>
      </c>
      <c r="B88" s="80">
        <f>$B$77*$B$43/12/27</f>
        <v>27.83147615320788</v>
      </c>
      <c r="C88" s="2" t="s">
        <v>395</v>
      </c>
      <c r="D88" s="2" t="s">
        <v>686</v>
      </c>
    </row>
    <row r="89" spans="1:4" x14ac:dyDescent="0.3">
      <c r="A89" s="21" t="s">
        <v>687</v>
      </c>
      <c r="B89" s="80">
        <f>$B$77*($B$82+$B$69)/12/27</f>
        <v>29.97235893422387</v>
      </c>
      <c r="C89" s="2" t="s">
        <v>395</v>
      </c>
      <c r="D89" s="2" t="s">
        <v>688</v>
      </c>
    </row>
    <row r="90" spans="1:4" x14ac:dyDescent="0.3">
      <c r="A90" s="21" t="s">
        <v>689</v>
      </c>
      <c r="B90" s="80">
        <f>$B$88+$B$89</f>
        <v>57.80383508743175</v>
      </c>
      <c r="C90" s="2" t="s">
        <v>395</v>
      </c>
      <c r="D90" s="2"/>
    </row>
    <row r="91" spans="1:4" x14ac:dyDescent="0.3">
      <c r="A91" s="21" t="s">
        <v>690</v>
      </c>
      <c r="B91" s="83">
        <f>($B$43/12*$B$45+$B$46)*$B$74*$B$75/144</f>
        <v>10616.6377110583</v>
      </c>
      <c r="C91" s="2" t="s">
        <v>237</v>
      </c>
      <c r="D91" s="2" t="s">
        <v>691</v>
      </c>
    </row>
    <row r="92" spans="1:4" x14ac:dyDescent="0.3">
      <c r="A92" s="21" t="s">
        <v>692</v>
      </c>
      <c r="B92" s="80">
        <f>IF($B$6="shed",2*(($B$24-2*$B$25)/12)*($B$68/12/2)*($B$25/12)/27,0)</f>
        <v>2.4776663237311389</v>
      </c>
      <c r="C92" s="2" t="s">
        <v>395</v>
      </c>
      <c r="D92" s="2" t="s">
        <v>693</v>
      </c>
    </row>
    <row r="93" spans="1:4" x14ac:dyDescent="0.3">
      <c r="A93" s="21" t="s">
        <v>694</v>
      </c>
      <c r="B93" s="80">
        <f>IF($B$6="gable",2*0.5*(($B$24-2*$B$25)/12)*($B$72/12)*($B$25/12)/27,0)</f>
        <v>0</v>
      </c>
      <c r="C93" s="2" t="s">
        <v>395</v>
      </c>
      <c r="D93" s="2" t="s">
        <v>695</v>
      </c>
    </row>
    <row r="94" spans="1:4" x14ac:dyDescent="0.3">
      <c r="A94" s="21" t="s">
        <v>696</v>
      </c>
      <c r="B94" s="81">
        <f>IF($B$6="gable",$B$63/12,0)</f>
        <v>0</v>
      </c>
      <c r="C94" s="2" t="s">
        <v>299</v>
      </c>
      <c r="D94" s="2" t="s">
        <v>697</v>
      </c>
    </row>
    <row r="95" spans="1:4" x14ac:dyDescent="0.3">
      <c r="A95" s="21" t="s">
        <v>698</v>
      </c>
      <c r="B95" s="74">
        <f>IF($B$6="gable",2,1)</f>
        <v>1</v>
      </c>
      <c r="C95" s="2" t="s">
        <v>699</v>
      </c>
      <c r="D95" s="2" t="s">
        <v>700</v>
      </c>
    </row>
    <row r="96" spans="1:4" x14ac:dyDescent="0.3">
      <c r="A96" s="21" t="s">
        <v>701</v>
      </c>
      <c r="B96" s="81">
        <f>$B$29*$B$30*$B$31/144</f>
        <v>66.666666666666671</v>
      </c>
      <c r="C96" s="2" t="s">
        <v>302</v>
      </c>
      <c r="D96" s="2" t="s">
        <v>702</v>
      </c>
    </row>
    <row r="98" spans="1:11" x14ac:dyDescent="0.3">
      <c r="A98" s="4" t="s">
        <v>703</v>
      </c>
      <c r="B98" s="5"/>
      <c r="C98" s="5"/>
      <c r="D98" s="5"/>
      <c r="E98" s="5"/>
      <c r="F98" s="5"/>
      <c r="G98" s="5"/>
      <c r="H98" s="5"/>
      <c r="I98" s="5"/>
      <c r="J98" s="5"/>
      <c r="K98" s="5"/>
    </row>
    <row r="99" spans="1:11" x14ac:dyDescent="0.3">
      <c r="A99" s="11" t="s">
        <v>417</v>
      </c>
      <c r="B99" s="11" t="s">
        <v>418</v>
      </c>
      <c r="C99" s="11" t="s">
        <v>419</v>
      </c>
      <c r="D99" s="11" t="s">
        <v>420</v>
      </c>
      <c r="E99" s="11" t="s">
        <v>421</v>
      </c>
      <c r="F99" s="11" t="s">
        <v>422</v>
      </c>
      <c r="G99" s="11" t="s">
        <v>423</v>
      </c>
      <c r="H99" s="11" t="s">
        <v>424</v>
      </c>
      <c r="I99" s="11" t="s">
        <v>425</v>
      </c>
      <c r="J99" s="11" t="s">
        <v>426</v>
      </c>
      <c r="K99" s="11" t="s">
        <v>427</v>
      </c>
    </row>
    <row r="100" spans="1:11" x14ac:dyDescent="0.3">
      <c r="A100" s="84" t="str">
        <f>"Roof studs "&amp;$B$16</f>
        <v>Roof studs 800S162-68</v>
      </c>
      <c r="B100" s="85">
        <f>$B$83</f>
        <v>1189.107464655739</v>
      </c>
      <c r="C100" s="86" t="s">
        <v>299</v>
      </c>
      <c r="D100" s="84" t="s">
        <v>430</v>
      </c>
      <c r="E100" s="71" t="s">
        <v>431</v>
      </c>
      <c r="F100" s="86" t="str">
        <f>$B$17&amp;" in web, "&amp;$B$18&amp;" in flange, "&amp;$B$19&amp;" mil; cut to the strip length"</f>
        <v>8 in web, 1.625 in flange, 68 mil; cut to the strip length</v>
      </c>
      <c r="G100" s="89">
        <f>$B$53</f>
        <v>2.42</v>
      </c>
      <c r="H100" s="13">
        <f t="shared" ref="H100:H121" si="1">IF(D100="Material",B100*G100,0)</f>
        <v>2877.6400644668884</v>
      </c>
      <c r="I100" s="13">
        <f t="shared" ref="I100:I121" si="2">IF(D100="Labor",B100*G100,0)</f>
        <v>0</v>
      </c>
      <c r="J100" s="13">
        <f t="shared" ref="J100:J121" si="3">H100+I100</f>
        <v>2877.6400644668884</v>
      </c>
      <c r="K100" s="86" t="s">
        <v>704</v>
      </c>
    </row>
    <row r="101" spans="1:11" x14ac:dyDescent="0.3">
      <c r="A101" s="84" t="str">
        <f>"Roof track "&amp;IF($B$6="gable","1000T","800T")&amp;", both ends of every strip"</f>
        <v>Roof track 800T, both ends of every strip</v>
      </c>
      <c r="B101" s="85">
        <f>$B$84*(1+$B$33)</f>
        <v>92.4</v>
      </c>
      <c r="C101" s="86" t="s">
        <v>299</v>
      </c>
      <c r="D101" s="84" t="s">
        <v>430</v>
      </c>
      <c r="E101" s="71" t="s">
        <v>431</v>
      </c>
      <c r="F101" s="86" t="str">
        <f>$B$17&amp;" in web; 2 × strip width per strip"</f>
        <v>8 in web; 2 × strip width per strip</v>
      </c>
      <c r="G101" s="89">
        <f>$B$53</f>
        <v>2.42</v>
      </c>
      <c r="H101" s="13">
        <f t="shared" si="1"/>
        <v>223.608</v>
      </c>
      <c r="I101" s="13">
        <f t="shared" si="2"/>
        <v>0</v>
      </c>
      <c r="J101" s="13">
        <f t="shared" si="3"/>
        <v>223.608</v>
      </c>
      <c r="K101" s="86" t="s">
        <v>705</v>
      </c>
    </row>
    <row r="102" spans="1:11" x14ac:dyDescent="0.3">
      <c r="A102" s="84" t="s">
        <v>706</v>
      </c>
      <c r="B102" s="85">
        <f>$B$85*(1+$B$33)</f>
        <v>415.8</v>
      </c>
      <c r="C102" s="86" t="s">
        <v>299</v>
      </c>
      <c r="D102" s="84" t="s">
        <v>430</v>
      </c>
      <c r="E102" s="71" t="s">
        <v>431</v>
      </c>
      <c r="F102" s="86" t="s">
        <v>707</v>
      </c>
      <c r="G102" s="76">
        <v>0.73</v>
      </c>
      <c r="H102" s="13">
        <f t="shared" si="1"/>
        <v>303.53399999999999</v>
      </c>
      <c r="I102" s="13">
        <f t="shared" si="2"/>
        <v>0</v>
      </c>
      <c r="J102" s="13">
        <f t="shared" si="3"/>
        <v>303.53399999999999</v>
      </c>
      <c r="K102" s="86" t="s">
        <v>708</v>
      </c>
    </row>
    <row r="103" spans="1:11" x14ac:dyDescent="0.3">
      <c r="A103" s="84" t="s">
        <v>709</v>
      </c>
      <c r="B103" s="87">
        <f>$B$86*$B$36</f>
        <v>648</v>
      </c>
      <c r="C103" s="86" t="s">
        <v>147</v>
      </c>
      <c r="D103" s="84" t="s">
        <v>430</v>
      </c>
      <c r="E103" s="71" t="s">
        <v>431</v>
      </c>
      <c r="F103" s="86" t="s">
        <v>454</v>
      </c>
      <c r="G103" s="76">
        <v>0.08</v>
      </c>
      <c r="H103" s="13">
        <f t="shared" si="1"/>
        <v>51.84</v>
      </c>
      <c r="I103" s="13">
        <f t="shared" si="2"/>
        <v>0</v>
      </c>
      <c r="J103" s="13">
        <f t="shared" si="3"/>
        <v>51.84</v>
      </c>
      <c r="K103" s="86" t="s">
        <v>452</v>
      </c>
    </row>
    <row r="104" spans="1:11" x14ac:dyDescent="0.3">
      <c r="A104" s="84" t="s">
        <v>710</v>
      </c>
      <c r="B104" s="87">
        <f>$B$86</f>
        <v>324</v>
      </c>
      <c r="C104" s="86" t="s">
        <v>147</v>
      </c>
      <c r="D104" s="84" t="s">
        <v>430</v>
      </c>
      <c r="E104" s="71" t="s">
        <v>431</v>
      </c>
      <c r="F104" s="86" t="s">
        <v>711</v>
      </c>
      <c r="G104" s="76">
        <v>0.6</v>
      </c>
      <c r="H104" s="13">
        <f t="shared" si="1"/>
        <v>194.4</v>
      </c>
      <c r="I104" s="13">
        <f t="shared" si="2"/>
        <v>0</v>
      </c>
      <c r="J104" s="13">
        <f t="shared" si="3"/>
        <v>194.4</v>
      </c>
      <c r="K104" s="86" t="s">
        <v>712</v>
      </c>
    </row>
    <row r="105" spans="1:11" x14ac:dyDescent="0.3">
      <c r="A105" s="84" t="s">
        <v>713</v>
      </c>
      <c r="B105" s="87">
        <f>$B$87</f>
        <v>24</v>
      </c>
      <c r="C105" s="86" t="s">
        <v>147</v>
      </c>
      <c r="D105" s="84" t="s">
        <v>430</v>
      </c>
      <c r="E105" s="71" t="s">
        <v>431</v>
      </c>
      <c r="F105" s="86" t="s">
        <v>714</v>
      </c>
      <c r="G105" s="76">
        <v>28</v>
      </c>
      <c r="H105" s="13">
        <f t="shared" si="1"/>
        <v>672</v>
      </c>
      <c r="I105" s="13">
        <f t="shared" si="2"/>
        <v>0</v>
      </c>
      <c r="J105" s="13">
        <f t="shared" si="3"/>
        <v>672</v>
      </c>
      <c r="K105" s="86" t="s">
        <v>521</v>
      </c>
    </row>
    <row r="106" spans="1:11" x14ac:dyDescent="0.3">
      <c r="A106" s="84" t="s">
        <v>715</v>
      </c>
      <c r="B106" s="85">
        <f>$B$77*(1+$B$34)</f>
        <v>1526.0212463081984</v>
      </c>
      <c r="C106" s="86" t="s">
        <v>302</v>
      </c>
      <c r="D106" s="84" t="s">
        <v>430</v>
      </c>
      <c r="E106" s="71" t="s">
        <v>431</v>
      </c>
      <c r="F106" s="86" t="s">
        <v>716</v>
      </c>
      <c r="G106" s="76">
        <v>0.95</v>
      </c>
      <c r="H106" s="13">
        <f t="shared" si="1"/>
        <v>1449.7201839927884</v>
      </c>
      <c r="I106" s="13">
        <f t="shared" si="2"/>
        <v>0</v>
      </c>
      <c r="J106" s="13">
        <f t="shared" si="3"/>
        <v>1449.7201839927884</v>
      </c>
      <c r="K106" s="86" t="s">
        <v>717</v>
      </c>
    </row>
    <row r="107" spans="1:11" x14ac:dyDescent="0.3">
      <c r="A107" s="84" t="s">
        <v>718</v>
      </c>
      <c r="B107" s="85">
        <f>$B$88*(1+$B$32)</f>
        <v>30.61462376852867</v>
      </c>
      <c r="C107" s="86" t="s">
        <v>395</v>
      </c>
      <c r="D107" s="84" t="s">
        <v>430</v>
      </c>
      <c r="E107" s="71" t="s">
        <v>431</v>
      </c>
      <c r="F107" s="86" t="s">
        <v>719</v>
      </c>
      <c r="G107" s="89">
        <f>$B$37+$B$38</f>
        <v>220</v>
      </c>
      <c r="H107" s="13">
        <f t="shared" si="1"/>
        <v>6735.2172290763074</v>
      </c>
      <c r="I107" s="13">
        <f t="shared" si="2"/>
        <v>0</v>
      </c>
      <c r="J107" s="13">
        <f t="shared" si="3"/>
        <v>6735.2172290763074</v>
      </c>
      <c r="K107" s="86" t="s">
        <v>720</v>
      </c>
    </row>
    <row r="108" spans="1:11" x14ac:dyDescent="0.3">
      <c r="A108" s="84" t="s">
        <v>721</v>
      </c>
      <c r="B108" s="85">
        <f>$B$89*(1+$B$32)</f>
        <v>32.969594827646262</v>
      </c>
      <c r="C108" s="86" t="s">
        <v>395</v>
      </c>
      <c r="D108" s="84" t="s">
        <v>430</v>
      </c>
      <c r="E108" s="71" t="s">
        <v>444</v>
      </c>
      <c r="F108" s="86" t="s">
        <v>722</v>
      </c>
      <c r="G108" s="89">
        <f>$B$37+$B$38</f>
        <v>220</v>
      </c>
      <c r="H108" s="13">
        <f t="shared" si="1"/>
        <v>7253.3108620821777</v>
      </c>
      <c r="I108" s="13">
        <f t="shared" si="2"/>
        <v>0</v>
      </c>
      <c r="J108" s="13">
        <f t="shared" si="3"/>
        <v>7253.3108620821777</v>
      </c>
      <c r="K108" s="86" t="s">
        <v>481</v>
      </c>
    </row>
    <row r="109" spans="1:11" x14ac:dyDescent="0.3">
      <c r="A109" s="84" t="s">
        <v>723</v>
      </c>
      <c r="B109" s="85">
        <f>$B$92*(1+$B$32)</f>
        <v>2.7254329561042532</v>
      </c>
      <c r="C109" s="86" t="s">
        <v>395</v>
      </c>
      <c r="D109" s="84" t="s">
        <v>430</v>
      </c>
      <c r="E109" s="71" t="s">
        <v>444</v>
      </c>
      <c r="F109" s="86" t="s">
        <v>724</v>
      </c>
      <c r="G109" s="89">
        <f>$B$37+$B$38</f>
        <v>220</v>
      </c>
      <c r="H109" s="13">
        <f t="shared" si="1"/>
        <v>599.59525034293574</v>
      </c>
      <c r="I109" s="13">
        <f t="shared" si="2"/>
        <v>0</v>
      </c>
      <c r="J109" s="13">
        <f t="shared" si="3"/>
        <v>599.59525034293574</v>
      </c>
      <c r="K109" s="86" t="s">
        <v>725</v>
      </c>
    </row>
    <row r="110" spans="1:11" x14ac:dyDescent="0.3">
      <c r="A110" s="84" t="s">
        <v>726</v>
      </c>
      <c r="B110" s="85">
        <f>$B$93*(1+$B$32)</f>
        <v>0</v>
      </c>
      <c r="C110" s="86" t="s">
        <v>395</v>
      </c>
      <c r="D110" s="84" t="s">
        <v>430</v>
      </c>
      <c r="E110" s="71" t="s">
        <v>444</v>
      </c>
      <c r="F110" s="86" t="s">
        <v>727</v>
      </c>
      <c r="G110" s="89">
        <f>$B$37+$B$38</f>
        <v>220</v>
      </c>
      <c r="H110" s="13">
        <f t="shared" si="1"/>
        <v>0</v>
      </c>
      <c r="I110" s="13">
        <f t="shared" si="2"/>
        <v>0</v>
      </c>
      <c r="J110" s="13">
        <f t="shared" si="3"/>
        <v>0</v>
      </c>
      <c r="K110" s="86" t="s">
        <v>728</v>
      </c>
    </row>
    <row r="111" spans="1:11" x14ac:dyDescent="0.3">
      <c r="A111" s="84" t="s">
        <v>729</v>
      </c>
      <c r="B111" s="85">
        <f>$B$77*1.1</f>
        <v>1526.0212463081984</v>
      </c>
      <c r="C111" s="86" t="s">
        <v>302</v>
      </c>
      <c r="D111" s="84" t="s">
        <v>430</v>
      </c>
      <c r="E111" s="71" t="s">
        <v>431</v>
      </c>
      <c r="F111" s="86" t="s">
        <v>730</v>
      </c>
      <c r="G111" s="76">
        <v>0.12</v>
      </c>
      <c r="H111" s="13">
        <f t="shared" si="1"/>
        <v>183.12254955698381</v>
      </c>
      <c r="I111" s="13">
        <f t="shared" si="2"/>
        <v>0</v>
      </c>
      <c r="J111" s="13">
        <f t="shared" si="3"/>
        <v>183.12254955698381</v>
      </c>
      <c r="K111" s="86" t="s">
        <v>731</v>
      </c>
    </row>
    <row r="112" spans="1:11" x14ac:dyDescent="0.3">
      <c r="A112" s="84" t="s">
        <v>732</v>
      </c>
      <c r="B112" s="85">
        <f>$B$66*2*($B$65*$B$74+$B$75+$B$76)/12</f>
        <v>282.18457744262321</v>
      </c>
      <c r="C112" s="86" t="s">
        <v>299</v>
      </c>
      <c r="D112" s="84" t="s">
        <v>430</v>
      </c>
      <c r="E112" s="71" t="s">
        <v>431</v>
      </c>
      <c r="F112" s="86" t="s">
        <v>733</v>
      </c>
      <c r="G112" s="76">
        <v>1.8</v>
      </c>
      <c r="H112" s="13">
        <f t="shared" si="1"/>
        <v>507.9322393967218</v>
      </c>
      <c r="I112" s="13">
        <f t="shared" si="2"/>
        <v>0</v>
      </c>
      <c r="J112" s="13">
        <f t="shared" si="3"/>
        <v>507.9322393967218</v>
      </c>
      <c r="K112" s="86" t="s">
        <v>734</v>
      </c>
    </row>
    <row r="113" spans="1:11" x14ac:dyDescent="0.3">
      <c r="A113" s="84" t="s">
        <v>735</v>
      </c>
      <c r="B113" s="85">
        <f>$B$96</f>
        <v>66.666666666666671</v>
      </c>
      <c r="C113" s="86" t="s">
        <v>302</v>
      </c>
      <c r="D113" s="84" t="s">
        <v>430</v>
      </c>
      <c r="E113" s="71" t="s">
        <v>444</v>
      </c>
      <c r="F113" s="86" t="s">
        <v>736</v>
      </c>
      <c r="G113" s="76">
        <v>60</v>
      </c>
      <c r="H113" s="13">
        <f t="shared" si="1"/>
        <v>4000.0000000000005</v>
      </c>
      <c r="I113" s="13">
        <f t="shared" si="2"/>
        <v>0</v>
      </c>
      <c r="J113" s="13">
        <f t="shared" si="3"/>
        <v>4000.0000000000005</v>
      </c>
      <c r="K113" s="86" t="s">
        <v>737</v>
      </c>
    </row>
    <row r="114" spans="1:11" x14ac:dyDescent="0.3">
      <c r="A114" s="84" t="s">
        <v>738</v>
      </c>
      <c r="B114" s="87">
        <f>$B$95</f>
        <v>1</v>
      </c>
      <c r="C114" s="86" t="s">
        <v>739</v>
      </c>
      <c r="D114" s="84" t="s">
        <v>430</v>
      </c>
      <c r="E114" s="71" t="s">
        <v>444</v>
      </c>
      <c r="F114" s="86" t="s">
        <v>740</v>
      </c>
      <c r="G114" s="76">
        <v>1500</v>
      </c>
      <c r="H114" s="13">
        <f t="shared" si="1"/>
        <v>1500</v>
      </c>
      <c r="I114" s="13">
        <f t="shared" si="2"/>
        <v>0</v>
      </c>
      <c r="J114" s="13">
        <f t="shared" si="3"/>
        <v>1500</v>
      </c>
      <c r="K114" s="86" t="s">
        <v>741</v>
      </c>
    </row>
    <row r="115" spans="1:11" x14ac:dyDescent="0.3">
      <c r="A115" s="84" t="s">
        <v>742</v>
      </c>
      <c r="B115" s="87">
        <f>IF($B$6="gable",1,0)</f>
        <v>0</v>
      </c>
      <c r="C115" s="86" t="s">
        <v>743</v>
      </c>
      <c r="D115" s="84" t="s">
        <v>430</v>
      </c>
      <c r="E115" s="71" t="s">
        <v>444</v>
      </c>
      <c r="F115" s="86" t="s">
        <v>744</v>
      </c>
      <c r="G115" s="76">
        <v>3500</v>
      </c>
      <c r="H115" s="13">
        <f t="shared" si="1"/>
        <v>0</v>
      </c>
      <c r="I115" s="13">
        <f t="shared" si="2"/>
        <v>0</v>
      </c>
      <c r="J115" s="13">
        <f t="shared" si="3"/>
        <v>0</v>
      </c>
      <c r="K115" s="86" t="s">
        <v>745</v>
      </c>
    </row>
    <row r="116" spans="1:11" x14ac:dyDescent="0.3">
      <c r="A116" s="84" t="s">
        <v>746</v>
      </c>
      <c r="B116" s="85">
        <f>$B$77</f>
        <v>1387.2920420983621</v>
      </c>
      <c r="C116" s="86" t="s">
        <v>302</v>
      </c>
      <c r="D116" s="84" t="s">
        <v>430</v>
      </c>
      <c r="E116" s="71" t="s">
        <v>444</v>
      </c>
      <c r="F116" s="86" t="s">
        <v>747</v>
      </c>
      <c r="G116" s="76">
        <v>8</v>
      </c>
      <c r="H116" s="13">
        <f t="shared" si="1"/>
        <v>11098.336336786897</v>
      </c>
      <c r="I116" s="13">
        <f t="shared" si="2"/>
        <v>0</v>
      </c>
      <c r="J116" s="13">
        <f t="shared" si="3"/>
        <v>11098.336336786897</v>
      </c>
      <c r="K116" s="86" t="s">
        <v>748</v>
      </c>
    </row>
    <row r="117" spans="1:11" x14ac:dyDescent="0.3">
      <c r="A117" s="84" t="s">
        <v>749</v>
      </c>
      <c r="B117" s="85">
        <f>$B$77*$B$56</f>
        <v>166.47504505180345</v>
      </c>
      <c r="C117" s="86" t="s">
        <v>261</v>
      </c>
      <c r="D117" s="84" t="s">
        <v>24</v>
      </c>
      <c r="E117" s="71" t="s">
        <v>431</v>
      </c>
      <c r="F117" s="86" t="s">
        <v>750</v>
      </c>
      <c r="G117" s="89">
        <f>$B$35</f>
        <v>35</v>
      </c>
      <c r="H117" s="13">
        <f t="shared" si="1"/>
        <v>0</v>
      </c>
      <c r="I117" s="13">
        <f t="shared" si="2"/>
        <v>5826.6265768131207</v>
      </c>
      <c r="J117" s="13">
        <f t="shared" si="3"/>
        <v>5826.6265768131207</v>
      </c>
      <c r="K117" s="86" t="s">
        <v>527</v>
      </c>
    </row>
    <row r="118" spans="1:11" x14ac:dyDescent="0.3">
      <c r="A118" s="84" t="s">
        <v>751</v>
      </c>
      <c r="B118" s="85">
        <f>$B$77*$B$57</f>
        <v>41.618761262950862</v>
      </c>
      <c r="C118" s="86" t="s">
        <v>261</v>
      </c>
      <c r="D118" s="84" t="s">
        <v>24</v>
      </c>
      <c r="E118" s="71" t="s">
        <v>431</v>
      </c>
      <c r="F118" s="86" t="s">
        <v>750</v>
      </c>
      <c r="G118" s="89">
        <f>$B$35</f>
        <v>35</v>
      </c>
      <c r="H118" s="13">
        <f t="shared" si="1"/>
        <v>0</v>
      </c>
      <c r="I118" s="13">
        <f t="shared" si="2"/>
        <v>1456.6566442032802</v>
      </c>
      <c r="J118" s="13">
        <f t="shared" si="3"/>
        <v>1456.6566442032802</v>
      </c>
      <c r="K118" s="86" t="s">
        <v>527</v>
      </c>
    </row>
    <row r="119" spans="1:11" x14ac:dyDescent="0.3">
      <c r="A119" s="84" t="s">
        <v>752</v>
      </c>
      <c r="B119" s="85">
        <f>$B$88*(1+$B$32)*$B$58</f>
        <v>45.921935652793003</v>
      </c>
      <c r="C119" s="86" t="s">
        <v>261</v>
      </c>
      <c r="D119" s="84" t="s">
        <v>24</v>
      </c>
      <c r="E119" s="71" t="s">
        <v>431</v>
      </c>
      <c r="F119" s="86" t="s">
        <v>531</v>
      </c>
      <c r="G119" s="89">
        <f>$B$35</f>
        <v>35</v>
      </c>
      <c r="H119" s="13">
        <f t="shared" si="1"/>
        <v>0</v>
      </c>
      <c r="I119" s="13">
        <f t="shared" si="2"/>
        <v>1607.2677478477551</v>
      </c>
      <c r="J119" s="13">
        <f t="shared" si="3"/>
        <v>1607.2677478477551</v>
      </c>
      <c r="K119" s="86" t="s">
        <v>527</v>
      </c>
    </row>
    <row r="120" spans="1:11" x14ac:dyDescent="0.3">
      <c r="A120" s="84" t="s">
        <v>753</v>
      </c>
      <c r="B120" s="85">
        <f>$B$89*(1+$B$32)*$B$59</f>
        <v>65.939189655292523</v>
      </c>
      <c r="C120" s="86" t="s">
        <v>261</v>
      </c>
      <c r="D120" s="84" t="s">
        <v>24</v>
      </c>
      <c r="E120" s="71" t="s">
        <v>444</v>
      </c>
      <c r="F120" s="86" t="s">
        <v>531</v>
      </c>
      <c r="G120" s="89">
        <f>$B$35</f>
        <v>35</v>
      </c>
      <c r="H120" s="13">
        <f t="shared" si="1"/>
        <v>0</v>
      </c>
      <c r="I120" s="13">
        <f t="shared" si="2"/>
        <v>2307.8716379352381</v>
      </c>
      <c r="J120" s="13">
        <f t="shared" si="3"/>
        <v>2307.8716379352381</v>
      </c>
      <c r="K120" s="86" t="s">
        <v>538</v>
      </c>
    </row>
    <row r="121" spans="1:11" x14ac:dyDescent="0.3">
      <c r="A121" s="84" t="s">
        <v>754</v>
      </c>
      <c r="B121" s="85">
        <f>$B$60*$B$95</f>
        <v>32</v>
      </c>
      <c r="C121" s="86" t="s">
        <v>261</v>
      </c>
      <c r="D121" s="84" t="s">
        <v>24</v>
      </c>
      <c r="E121" s="71" t="s">
        <v>444</v>
      </c>
      <c r="F121" s="86" t="s">
        <v>755</v>
      </c>
      <c r="G121" s="89">
        <f>$B$35</f>
        <v>35</v>
      </c>
      <c r="H121" s="13">
        <f t="shared" si="1"/>
        <v>0</v>
      </c>
      <c r="I121" s="13">
        <f t="shared" si="2"/>
        <v>1120</v>
      </c>
      <c r="J121" s="13">
        <f t="shared" si="3"/>
        <v>1120</v>
      </c>
      <c r="K121" s="86" t="s">
        <v>527</v>
      </c>
    </row>
    <row r="122" spans="1:11" x14ac:dyDescent="0.3">
      <c r="A122" s="16" t="s">
        <v>756</v>
      </c>
      <c r="B122" s="20"/>
      <c r="C122" s="20"/>
      <c r="D122" s="20"/>
      <c r="E122" s="20"/>
      <c r="F122" s="20"/>
      <c r="G122" s="20"/>
      <c r="H122" s="88">
        <f>SUM(H100:H121)</f>
        <v>37650.256715701704</v>
      </c>
      <c r="I122" s="88">
        <f>SUM(I100:I121)</f>
        <v>12318.422606799395</v>
      </c>
      <c r="J122" s="88">
        <f>SUM(J100:J121)</f>
        <v>49968.679322501099</v>
      </c>
      <c r="K122" s="20"/>
    </row>
    <row r="124" spans="1:11" x14ac:dyDescent="0.3">
      <c r="A124" s="90" t="s">
        <v>757</v>
      </c>
      <c r="B124" s="91"/>
      <c r="C124" s="91"/>
      <c r="D124" s="91"/>
      <c r="E124" s="91"/>
      <c r="F124" s="91"/>
      <c r="G124" s="91"/>
      <c r="H124" s="92">
        <f>$H$122</f>
        <v>37650.256715701704</v>
      </c>
      <c r="I124" s="92">
        <f>$I$122</f>
        <v>12318.422606799395</v>
      </c>
      <c r="J124" s="92">
        <f>H124+I124</f>
        <v>49968.679322501099</v>
      </c>
      <c r="K124" s="91"/>
    </row>
    <row r="126" spans="1:11" x14ac:dyDescent="0.3">
      <c r="A126" s="6" t="s">
        <v>758</v>
      </c>
    </row>
    <row r="127" spans="1:11" x14ac:dyDescent="0.3">
      <c r="A127" s="16" t="s">
        <v>542</v>
      </c>
      <c r="B127" s="20"/>
      <c r="C127" s="20"/>
      <c r="D127" s="20"/>
      <c r="E127" s="20"/>
      <c r="F127" s="20"/>
      <c r="G127" s="20"/>
      <c r="H127" s="88">
        <f>SUMIFS(H100:H121,$D$100:$D$121,"Material",$E$100:$E$121,"Plant")</f>
        <v>13199.014266489688</v>
      </c>
      <c r="I127" s="88">
        <f>SUMIFS(I100:I121,$D$100:$D$121,"Labor",$E$100:$E$121,"Plant")</f>
        <v>8890.5509688641559</v>
      </c>
      <c r="J127" s="88">
        <f>H127+I127</f>
        <v>22089.565235353846</v>
      </c>
      <c r="K127" s="93" t="s">
        <v>543</v>
      </c>
    </row>
    <row r="128" spans="1:11" x14ac:dyDescent="0.3">
      <c r="A128" s="6" t="s">
        <v>544</v>
      </c>
      <c r="B128" s="94">
        <f>SUMIFS(B100:B121,$D$100:$D$121,"Labor",$E$100:$E$121,"Plant")</f>
        <v>254.01574196754731</v>
      </c>
      <c r="C128" s="2" t="s">
        <v>261</v>
      </c>
      <c r="K128" s="2" t="s">
        <v>545</v>
      </c>
    </row>
    <row r="129" spans="1:11" x14ac:dyDescent="0.3">
      <c r="A129" s="16" t="s">
        <v>546</v>
      </c>
      <c r="B129" s="20"/>
      <c r="C129" s="20"/>
      <c r="D129" s="20"/>
      <c r="E129" s="20"/>
      <c r="F129" s="20"/>
      <c r="G129" s="20"/>
      <c r="H129" s="88">
        <f>SUMIFS(H100:H121,$D$100:$D$121,"Material",$E$100:$E$121,"Site")</f>
        <v>24451.242449212012</v>
      </c>
      <c r="I129" s="88">
        <f>SUMIFS(I100:I121,$D$100:$D$121,"Labor",$E$100:$E$121,"Site")</f>
        <v>3427.8716379352381</v>
      </c>
      <c r="J129" s="88">
        <f>H129+I129</f>
        <v>27879.114087147249</v>
      </c>
      <c r="K129" s="93" t="s">
        <v>547</v>
      </c>
    </row>
    <row r="130" spans="1:11" x14ac:dyDescent="0.3">
      <c r="A130" s="2" t="s">
        <v>548</v>
      </c>
      <c r="J130" s="95">
        <f>$J$127+$J$129-$J$124</f>
        <v>0</v>
      </c>
    </row>
    <row r="132" spans="1:11" x14ac:dyDescent="0.3">
      <c r="A132" s="21" t="s">
        <v>759</v>
      </c>
      <c r="J132" s="59">
        <f>Manufacturing!$C$38+$J$129*(1+Summary!$B$8)</f>
        <v>64794.976037313012</v>
      </c>
      <c r="K132" s="2" t="s">
        <v>760</v>
      </c>
    </row>
    <row r="133" spans="1:11" x14ac:dyDescent="0.3">
      <c r="A133" s="21" t="s">
        <v>761</v>
      </c>
      <c r="J133" s="22">
        <f>$J$132/$B$77</f>
        <v>46.706082116139541</v>
      </c>
    </row>
    <row r="134" spans="1:11" x14ac:dyDescent="0.3">
      <c r="A134" s="2" t="s">
        <v>762</v>
      </c>
    </row>
  </sheetData>
  <mergeCells count="1">
    <mergeCell ref="A2:J2"/>
  </mergeCells>
  <dataValidations count="1">
    <dataValidation type="list" allowBlank="1" sqref="E100:E121" xr:uid="{00000000-0002-0000-0200-000000000000}">
      <formula1>"Plant,Site"</formula1>
    </dataValidation>
  </dataValidations>
  <hyperlinks>
    <hyperlink ref="A3" location="'Summary'!A1" display="← Summary" xr:uid="{00000000-0004-0000-0200-00000000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6"/>
  <sheetViews>
    <sheetView showGridLines="0" workbookViewId="0">
      <pane ySplit="4" topLeftCell="A5" activePane="bottomLeft" state="frozen"/>
      <selection pane="bottomLeft"/>
    </sheetView>
  </sheetViews>
  <sheetFormatPr defaultRowHeight="14.4" x14ac:dyDescent="0.3"/>
  <cols>
    <col min="1" max="1" width="58" customWidth="1"/>
    <col min="2" max="5" width="16" customWidth="1"/>
    <col min="6" max="6" width="84" customWidth="1"/>
  </cols>
  <sheetData>
    <row r="1" spans="1:10" ht="17.399999999999999" x14ac:dyDescent="0.3">
      <c r="A1" s="60" t="s">
        <v>763</v>
      </c>
    </row>
    <row r="2" spans="1:10" ht="70.05" customHeight="1" x14ac:dyDescent="0.3">
      <c r="A2" s="125" t="s">
        <v>764</v>
      </c>
      <c r="B2" s="126"/>
      <c r="C2" s="126"/>
      <c r="D2" s="126"/>
      <c r="E2" s="126"/>
      <c r="F2" s="126"/>
      <c r="G2" s="126"/>
      <c r="H2" s="126"/>
      <c r="I2" s="126"/>
      <c r="J2" s="126"/>
    </row>
    <row r="3" spans="1:10" x14ac:dyDescent="0.3">
      <c r="A3" s="3" t="s">
        <v>127</v>
      </c>
    </row>
    <row r="5" spans="1:10" x14ac:dyDescent="0.3">
      <c r="A5" s="4" t="s">
        <v>765</v>
      </c>
      <c r="B5" s="5"/>
      <c r="C5" s="5"/>
      <c r="D5" s="5"/>
      <c r="E5" s="5"/>
      <c r="F5" s="5"/>
    </row>
    <row r="6" spans="1:10" x14ac:dyDescent="0.3">
      <c r="A6" s="21" t="s">
        <v>766</v>
      </c>
      <c r="B6" s="100">
        <v>3000</v>
      </c>
      <c r="C6" s="2" t="s">
        <v>767</v>
      </c>
      <c r="D6" s="2" t="s">
        <v>768</v>
      </c>
    </row>
    <row r="7" spans="1:10" x14ac:dyDescent="0.3">
      <c r="A7" s="21" t="s">
        <v>769</v>
      </c>
      <c r="B7" s="100">
        <v>2500</v>
      </c>
      <c r="C7" s="2" t="s">
        <v>767</v>
      </c>
      <c r="D7" s="2" t="s">
        <v>768</v>
      </c>
    </row>
    <row r="8" spans="1:10" x14ac:dyDescent="0.3">
      <c r="A8" s="21" t="s">
        <v>770</v>
      </c>
      <c r="B8" s="100">
        <v>1500</v>
      </c>
      <c r="C8" s="2" t="s">
        <v>767</v>
      </c>
      <c r="D8" s="2" t="s">
        <v>768</v>
      </c>
    </row>
    <row r="9" spans="1:10" x14ac:dyDescent="0.3">
      <c r="A9" s="21" t="s">
        <v>771</v>
      </c>
      <c r="B9" s="100">
        <v>5000</v>
      </c>
      <c r="C9" s="2" t="s">
        <v>767</v>
      </c>
      <c r="D9" s="2" t="s">
        <v>768</v>
      </c>
    </row>
    <row r="10" spans="1:10" x14ac:dyDescent="0.3">
      <c r="A10" s="21" t="s">
        <v>772</v>
      </c>
      <c r="B10" s="101">
        <f>$B$6+$B$7+$B$8+$B$9</f>
        <v>12000</v>
      </c>
      <c r="C10" s="2" t="s">
        <v>767</v>
      </c>
      <c r="D10" s="2" t="s">
        <v>773</v>
      </c>
    </row>
    <row r="11" spans="1:10" x14ac:dyDescent="0.3">
      <c r="A11" s="21" t="s">
        <v>774</v>
      </c>
      <c r="B11" s="102">
        <v>3</v>
      </c>
      <c r="C11" s="2" t="s">
        <v>775</v>
      </c>
      <c r="D11" s="2" t="s">
        <v>776</v>
      </c>
    </row>
    <row r="12" spans="1:10" x14ac:dyDescent="0.3">
      <c r="A12" s="21" t="s">
        <v>777</v>
      </c>
      <c r="B12" s="102">
        <v>160</v>
      </c>
      <c r="C12" s="2" t="s">
        <v>778</v>
      </c>
      <c r="D12" s="2" t="s">
        <v>779</v>
      </c>
    </row>
    <row r="13" spans="1:10" x14ac:dyDescent="0.3">
      <c r="A13" s="21" t="s">
        <v>780</v>
      </c>
      <c r="B13" s="83">
        <f>$B$11*$B$12</f>
        <v>480</v>
      </c>
      <c r="C13" s="2" t="s">
        <v>781</v>
      </c>
      <c r="D13" s="2" t="s">
        <v>782</v>
      </c>
    </row>
    <row r="14" spans="1:10" x14ac:dyDescent="0.3">
      <c r="A14" s="21" t="s">
        <v>783</v>
      </c>
      <c r="B14" s="89">
        <f>$B$10/$B$13</f>
        <v>25</v>
      </c>
      <c r="C14" s="2" t="s">
        <v>784</v>
      </c>
      <c r="D14" s="2" t="s">
        <v>785</v>
      </c>
    </row>
    <row r="15" spans="1:10" x14ac:dyDescent="0.3">
      <c r="A15" s="21" t="s">
        <v>786</v>
      </c>
      <c r="B15" s="8">
        <v>0.2</v>
      </c>
      <c r="C15" s="2" t="s">
        <v>240</v>
      </c>
      <c r="D15" s="2" t="s">
        <v>787</v>
      </c>
    </row>
    <row r="17" spans="1:6" x14ac:dyDescent="0.3">
      <c r="A17" s="4" t="s">
        <v>788</v>
      </c>
      <c r="B17" s="5"/>
      <c r="C17" s="5"/>
      <c r="D17" s="5"/>
      <c r="E17" s="5"/>
      <c r="F17" s="5"/>
    </row>
    <row r="18" spans="1:6" x14ac:dyDescent="0.3">
      <c r="A18" s="21" t="s">
        <v>789</v>
      </c>
      <c r="B18" s="73">
        <f>Walls!$B$103</f>
        <v>34</v>
      </c>
      <c r="C18" s="2" t="s">
        <v>147</v>
      </c>
      <c r="D18" s="2" t="s">
        <v>594</v>
      </c>
    </row>
    <row r="19" spans="1:6" x14ac:dyDescent="0.3">
      <c r="A19" s="21" t="s">
        <v>790</v>
      </c>
      <c r="B19" s="73">
        <f>Walls!$B$16</f>
        <v>10</v>
      </c>
      <c r="C19" s="2" t="s">
        <v>147</v>
      </c>
      <c r="D19" s="2" t="s">
        <v>791</v>
      </c>
    </row>
    <row r="20" spans="1:6" x14ac:dyDescent="0.3">
      <c r="A20" s="21" t="s">
        <v>792</v>
      </c>
      <c r="B20" s="73">
        <f>Walls!$B$20</f>
        <v>150</v>
      </c>
      <c r="C20" s="2" t="s">
        <v>152</v>
      </c>
      <c r="D20" s="2" t="s">
        <v>793</v>
      </c>
    </row>
    <row r="21" spans="1:6" x14ac:dyDescent="0.3">
      <c r="A21" s="21" t="s">
        <v>154</v>
      </c>
      <c r="B21" s="73">
        <f>Walls!$B$19</f>
        <v>120</v>
      </c>
      <c r="C21" s="2" t="s">
        <v>152</v>
      </c>
      <c r="D21" s="2" t="s">
        <v>594</v>
      </c>
    </row>
    <row r="22" spans="1:6" x14ac:dyDescent="0.3">
      <c r="A22" s="21" t="s">
        <v>151</v>
      </c>
      <c r="B22" s="73">
        <f>Walls!$B$18</f>
        <v>48</v>
      </c>
      <c r="C22" s="2" t="s">
        <v>152</v>
      </c>
      <c r="D22" s="2" t="s">
        <v>594</v>
      </c>
    </row>
    <row r="23" spans="1:6" x14ac:dyDescent="0.3">
      <c r="A23" s="21" t="s">
        <v>304</v>
      </c>
      <c r="B23" s="103">
        <f>Walls!$B$118</f>
        <v>1460</v>
      </c>
      <c r="C23" s="2" t="s">
        <v>302</v>
      </c>
      <c r="D23" s="2" t="s">
        <v>594</v>
      </c>
    </row>
    <row r="24" spans="1:6" x14ac:dyDescent="0.3">
      <c r="A24" s="21" t="s">
        <v>103</v>
      </c>
      <c r="B24" s="103">
        <f>Roof!$B$77</f>
        <v>1387.2920420983621</v>
      </c>
      <c r="C24" s="2" t="s">
        <v>302</v>
      </c>
      <c r="D24" s="2" t="s">
        <v>85</v>
      </c>
    </row>
    <row r="25" spans="1:6" x14ac:dyDescent="0.3">
      <c r="A25" s="21" t="s">
        <v>794</v>
      </c>
      <c r="B25" s="73">
        <f>Roof!$B$14</f>
        <v>3</v>
      </c>
      <c r="C25" s="2" t="s">
        <v>147</v>
      </c>
      <c r="D25" s="2" t="s">
        <v>85</v>
      </c>
    </row>
    <row r="26" spans="1:6" x14ac:dyDescent="0.3">
      <c r="A26" s="21" t="s">
        <v>795</v>
      </c>
      <c r="B26" s="103">
        <f>'Floor options'!$B$9</f>
        <v>1196.6666666666667</v>
      </c>
      <c r="C26" s="2" t="s">
        <v>302</v>
      </c>
      <c r="D26" s="2" t="s">
        <v>796</v>
      </c>
    </row>
    <row r="27" spans="1:6" x14ac:dyDescent="0.3">
      <c r="A27" s="21" t="s">
        <v>797</v>
      </c>
      <c r="B27" s="72" t="str">
        <f>Summary!$B$7</f>
        <v>A</v>
      </c>
      <c r="C27" s="2"/>
      <c r="D27" s="2" t="s">
        <v>798</v>
      </c>
    </row>
    <row r="28" spans="1:6" x14ac:dyDescent="0.3">
      <c r="A28" s="21" t="s">
        <v>799</v>
      </c>
      <c r="B28" s="74">
        <f>IF($B$27="B-plant",1,0)</f>
        <v>0</v>
      </c>
      <c r="C28" s="2" t="s">
        <v>568</v>
      </c>
      <c r="D28" s="2" t="s">
        <v>800</v>
      </c>
    </row>
    <row r="30" spans="1:6" x14ac:dyDescent="0.3">
      <c r="A30" s="11" t="s">
        <v>801</v>
      </c>
      <c r="B30" s="11" t="s">
        <v>802</v>
      </c>
      <c r="C30" s="11" t="s">
        <v>803</v>
      </c>
      <c r="D30" s="11" t="s">
        <v>804</v>
      </c>
      <c r="E30" s="11" t="s">
        <v>805</v>
      </c>
      <c r="F30" s="11" t="s">
        <v>564</v>
      </c>
    </row>
    <row r="31" spans="1:6" x14ac:dyDescent="0.3">
      <c r="A31" s="21" t="s">
        <v>806</v>
      </c>
      <c r="B31" s="12">
        <f>Walls!$H$353</f>
        <v>13902.153762860085</v>
      </c>
      <c r="C31" s="12">
        <f>Roof!$H$127</f>
        <v>13199.014266489688</v>
      </c>
      <c r="D31" s="12">
        <f>$B$28*'Floor options'!$H$112</f>
        <v>0</v>
      </c>
      <c r="E31" s="101">
        <f>B31+C31+D31</f>
        <v>27101.168029349774</v>
      </c>
      <c r="F31" s="2" t="s">
        <v>807</v>
      </c>
    </row>
    <row r="32" spans="1:6" x14ac:dyDescent="0.3">
      <c r="A32" s="21" t="s">
        <v>808</v>
      </c>
      <c r="B32" s="12">
        <f>Walls!$I$353</f>
        <v>8382.0344135802479</v>
      </c>
      <c r="C32" s="12">
        <f>Roof!$I$127</f>
        <v>8890.5509688641559</v>
      </c>
      <c r="D32" s="12">
        <f>$B$28*'Floor options'!$I$112</f>
        <v>0</v>
      </c>
      <c r="E32" s="101">
        <f>B32+C32+D32</f>
        <v>17272.585382444406</v>
      </c>
      <c r="F32" s="2" t="s">
        <v>809</v>
      </c>
    </row>
    <row r="33" spans="1:6" x14ac:dyDescent="0.3">
      <c r="A33" s="21" t="s">
        <v>810</v>
      </c>
      <c r="B33" s="103">
        <f>Walls!$B$354</f>
        <v>239.48669753086421</v>
      </c>
      <c r="C33" s="103">
        <f>Roof!$B$128</f>
        <v>254.01574196754731</v>
      </c>
      <c r="D33" s="103">
        <f>$B$28*'Floor options'!$B$113</f>
        <v>0</v>
      </c>
      <c r="E33" s="81">
        <f>B33+C33+D33</f>
        <v>493.50243949841149</v>
      </c>
      <c r="F33" s="2" t="s">
        <v>811</v>
      </c>
    </row>
    <row r="34" spans="1:6" x14ac:dyDescent="0.3">
      <c r="A34" s="21" t="s">
        <v>812</v>
      </c>
      <c r="B34" s="101">
        <f>$B$33*$B$14</f>
        <v>5987.1674382716055</v>
      </c>
      <c r="C34" s="101">
        <f>$C$33*$B$14</f>
        <v>6350.3935491886832</v>
      </c>
      <c r="D34" s="101">
        <f>$D$33*$B$14</f>
        <v>0</v>
      </c>
      <c r="E34" s="101">
        <f>B34+C34+D34</f>
        <v>12337.560987460289</v>
      </c>
      <c r="F34" s="2" t="s">
        <v>813</v>
      </c>
    </row>
    <row r="35" spans="1:6" x14ac:dyDescent="0.3">
      <c r="A35" s="6" t="s">
        <v>814</v>
      </c>
      <c r="B35" s="69">
        <f>$B$31+$B$32+$B$34</f>
        <v>28271.355614711938</v>
      </c>
      <c r="C35" s="69">
        <f>$C$31+$C$32+$C$34</f>
        <v>28439.95878454253</v>
      </c>
      <c r="D35" s="69">
        <f>$D$31+$D$32+$D$34</f>
        <v>0</v>
      </c>
      <c r="E35" s="69">
        <f>B35+C35+D35</f>
        <v>56711.314399254465</v>
      </c>
      <c r="F35" s="2" t="s">
        <v>815</v>
      </c>
    </row>
    <row r="36" spans="1:6" x14ac:dyDescent="0.3">
      <c r="A36" s="21" t="s">
        <v>816</v>
      </c>
      <c r="B36" s="104">
        <f>$B$15</f>
        <v>0.2</v>
      </c>
      <c r="C36" s="104">
        <f>$B$15</f>
        <v>0.2</v>
      </c>
      <c r="D36" s="104">
        <f>$B$15</f>
        <v>0.2</v>
      </c>
      <c r="F36" s="2" t="s">
        <v>817</v>
      </c>
    </row>
    <row r="37" spans="1:6" x14ac:dyDescent="0.3">
      <c r="A37" s="21" t="s">
        <v>818</v>
      </c>
      <c r="B37" s="101">
        <f>$B$35*$B$36</f>
        <v>5654.2711229423876</v>
      </c>
      <c r="C37" s="101">
        <f>$C$35*$C$36</f>
        <v>5687.9917569085064</v>
      </c>
      <c r="D37" s="101">
        <f>$D$35*$D$36</f>
        <v>0</v>
      </c>
      <c r="E37" s="101">
        <f>B37+C37+D37</f>
        <v>11342.262879850894</v>
      </c>
      <c r="F37" s="2" t="s">
        <v>819</v>
      </c>
    </row>
    <row r="38" spans="1:6" x14ac:dyDescent="0.3">
      <c r="A38" s="105" t="s">
        <v>820</v>
      </c>
      <c r="B38" s="106">
        <f>$B$35+$B$37</f>
        <v>33925.626737654326</v>
      </c>
      <c r="C38" s="106">
        <f>$C$35+$C$37</f>
        <v>34127.950541451035</v>
      </c>
      <c r="D38" s="106">
        <f>$D$35+$D$37</f>
        <v>0</v>
      </c>
      <c r="E38" s="106">
        <f>B38+C38+D38</f>
        <v>68053.577279105361</v>
      </c>
      <c r="F38" s="29" t="s">
        <v>821</v>
      </c>
    </row>
    <row r="39" spans="1:6" x14ac:dyDescent="0.3">
      <c r="A39" s="21" t="s">
        <v>822</v>
      </c>
      <c r="B39" s="89">
        <f>$B$38/$B$18</f>
        <v>997.8125511074802</v>
      </c>
      <c r="C39" s="89">
        <f>$C$38/$B$24</f>
        <v>24.600408209529171</v>
      </c>
      <c r="D39" s="89">
        <f>IF($B$26=0,0,$D$38/$B$26)</f>
        <v>0</v>
      </c>
      <c r="F39" s="2" t="s">
        <v>823</v>
      </c>
    </row>
    <row r="40" spans="1:6" x14ac:dyDescent="0.3">
      <c r="A40" s="21" t="s">
        <v>824</v>
      </c>
      <c r="B40" s="89">
        <f>$B$35/$B$18</f>
        <v>831.5104592562335</v>
      </c>
      <c r="C40" s="89">
        <f>$C$35/$B$24</f>
        <v>20.500340174607643</v>
      </c>
      <c r="D40" s="89">
        <f>IF($B$26=0,0,$D$35/$B$26)</f>
        <v>0</v>
      </c>
      <c r="F40" s="2" t="s">
        <v>825</v>
      </c>
    </row>
    <row r="41" spans="1:6" x14ac:dyDescent="0.3">
      <c r="A41" s="6" t="s">
        <v>826</v>
      </c>
    </row>
    <row r="42" spans="1:6" x14ac:dyDescent="0.3">
      <c r="A42" s="21" t="s">
        <v>827</v>
      </c>
      <c r="B42" s="89">
        <f>$B$38/$B$23</f>
        <v>23.236730642228991</v>
      </c>
      <c r="F42" s="2" t="s">
        <v>828</v>
      </c>
    </row>
    <row r="43" spans="1:6" x14ac:dyDescent="0.3">
      <c r="A43" s="21" t="s">
        <v>829</v>
      </c>
      <c r="B43" s="101">
        <f>$B$42*$B$22*$B$20/144</f>
        <v>1161.8365321114497</v>
      </c>
      <c r="F43" s="2" t="s">
        <v>830</v>
      </c>
    </row>
    <row r="44" spans="1:6" x14ac:dyDescent="0.3">
      <c r="A44" s="21" t="s">
        <v>831</v>
      </c>
      <c r="B44" s="101">
        <f>$B$42*$B$22*$B$21/144</f>
        <v>929.46922568915966</v>
      </c>
      <c r="F44" s="2" t="s">
        <v>832</v>
      </c>
    </row>
    <row r="45" spans="1:6" x14ac:dyDescent="0.3">
      <c r="A45" s="21" t="s">
        <v>833</v>
      </c>
      <c r="B45" s="107">
        <f>$B$19*$B$43+($B$18-$B$19)*$B$44-$B$38</f>
        <v>0</v>
      </c>
      <c r="F45" s="2" t="s">
        <v>834</v>
      </c>
    </row>
    <row r="47" spans="1:6" x14ac:dyDescent="0.3">
      <c r="A47" s="11" t="s">
        <v>835</v>
      </c>
      <c r="B47" s="11" t="s">
        <v>802</v>
      </c>
      <c r="C47" s="11" t="s">
        <v>803</v>
      </c>
      <c r="D47" s="11" t="s">
        <v>836</v>
      </c>
      <c r="E47" s="11" t="s">
        <v>837</v>
      </c>
      <c r="F47" s="11" t="s">
        <v>564</v>
      </c>
    </row>
    <row r="48" spans="1:6" x14ac:dyDescent="0.3">
      <c r="A48" s="21" t="s">
        <v>838</v>
      </c>
      <c r="B48" s="12">
        <f>Walls!$H$355</f>
        <v>5263.0108148148156</v>
      </c>
      <c r="C48" s="12">
        <f>Roof!$H$129</f>
        <v>24451.242449212012</v>
      </c>
      <c r="D48" s="12">
        <f>$B$28*'Floor options'!$H$114</f>
        <v>0</v>
      </c>
      <c r="E48" s="101">
        <f>B48+C48+D48</f>
        <v>29714.253264026825</v>
      </c>
      <c r="F48" s="2" t="s">
        <v>839</v>
      </c>
    </row>
    <row r="49" spans="1:6" x14ac:dyDescent="0.3">
      <c r="A49" s="21" t="s">
        <v>840</v>
      </c>
      <c r="B49" s="12">
        <f>Walls!$I$355</f>
        <v>6319.8009259259261</v>
      </c>
      <c r="C49" s="12">
        <f>Roof!$I$129</f>
        <v>3427.8716379352381</v>
      </c>
      <c r="D49" s="12">
        <f>$B$28*'Floor options'!$I$114</f>
        <v>0</v>
      </c>
      <c r="E49" s="101">
        <f>B49+C49+D49</f>
        <v>9747.6725638611642</v>
      </c>
      <c r="F49" s="2" t="s">
        <v>841</v>
      </c>
    </row>
    <row r="50" spans="1:6" x14ac:dyDescent="0.3">
      <c r="A50" s="6" t="s">
        <v>842</v>
      </c>
      <c r="B50" s="69">
        <f>$B$48+$B$49</f>
        <v>11582.811740740741</v>
      </c>
      <c r="C50" s="69">
        <f>$C$48+$C$49</f>
        <v>27879.114087147249</v>
      </c>
      <c r="D50" s="69">
        <f>$D$48+$D$49</f>
        <v>0</v>
      </c>
      <c r="E50" s="69">
        <f>B50+C50+D50</f>
        <v>39461.925827887986</v>
      </c>
      <c r="F50" s="2"/>
    </row>
    <row r="51" spans="1:6" x14ac:dyDescent="0.3">
      <c r="A51" s="21" t="s">
        <v>843</v>
      </c>
      <c r="B51" s="108">
        <f>Walls!$J$356</f>
        <v>0</v>
      </c>
      <c r="C51" s="108">
        <f>Roof!$J$130</f>
        <v>0</v>
      </c>
      <c r="D51" s="108">
        <f>'Floor options'!$J$115</f>
        <v>0</v>
      </c>
      <c r="F51" s="2" t="s">
        <v>844</v>
      </c>
    </row>
    <row r="53" spans="1:6" x14ac:dyDescent="0.3">
      <c r="A53" s="4" t="s">
        <v>845</v>
      </c>
      <c r="B53" s="5"/>
      <c r="C53" s="5"/>
      <c r="D53" s="5"/>
      <c r="E53" s="5"/>
      <c r="F53" s="5"/>
    </row>
    <row r="54" spans="1:6" x14ac:dyDescent="0.3">
      <c r="A54" s="21" t="s">
        <v>846</v>
      </c>
      <c r="B54" s="81">
        <f>$E$33</f>
        <v>493.50243949841149</v>
      </c>
      <c r="C54" s="2" t="s">
        <v>261</v>
      </c>
      <c r="D54" s="2" t="s">
        <v>847</v>
      </c>
    </row>
    <row r="55" spans="1:6" x14ac:dyDescent="0.3">
      <c r="A55" s="21" t="s">
        <v>848</v>
      </c>
      <c r="B55" s="82">
        <f>$B$13/$B$54</f>
        <v>0.9726395688902062</v>
      </c>
      <c r="C55" s="2" t="s">
        <v>849</v>
      </c>
      <c r="D55" s="2" t="s">
        <v>850</v>
      </c>
    </row>
    <row r="56" spans="1:6" x14ac:dyDescent="0.3">
      <c r="A56" s="21" t="s">
        <v>851</v>
      </c>
      <c r="B56" s="82">
        <f>$B$54/($B$13/4.33)</f>
        <v>4.4518032563085868</v>
      </c>
      <c r="C56" s="2" t="s">
        <v>852</v>
      </c>
      <c r="D56" s="2" t="s">
        <v>853</v>
      </c>
    </row>
    <row r="57" spans="1:6" x14ac:dyDescent="0.3">
      <c r="A57" s="21" t="s">
        <v>854</v>
      </c>
      <c r="B57" s="101">
        <f>$B$55*$E$38</f>
        <v>66191.602066185369</v>
      </c>
      <c r="C57" s="2" t="s">
        <v>767</v>
      </c>
      <c r="D57" s="2" t="s">
        <v>855</v>
      </c>
    </row>
    <row r="58" spans="1:6" x14ac:dyDescent="0.3">
      <c r="A58" s="21" t="s">
        <v>856</v>
      </c>
      <c r="B58" s="101">
        <f>$B$55*($E$31+$E$32)</f>
        <v>43159.668388487808</v>
      </c>
      <c r="C58" s="2" t="s">
        <v>767</v>
      </c>
      <c r="D58" s="2" t="s">
        <v>857</v>
      </c>
    </row>
    <row r="59" spans="1:6" x14ac:dyDescent="0.3">
      <c r="A59" s="21" t="s">
        <v>858</v>
      </c>
      <c r="B59" s="101">
        <f>$B$55*$E$34</f>
        <v>12000.000000000002</v>
      </c>
      <c r="C59" s="2" t="s">
        <v>767</v>
      </c>
      <c r="D59" s="2" t="s">
        <v>859</v>
      </c>
    </row>
    <row r="60" spans="1:6" x14ac:dyDescent="0.3">
      <c r="A60" s="21" t="s">
        <v>860</v>
      </c>
      <c r="B60" s="101">
        <f>$B$58+$B$59</f>
        <v>55159.668388487808</v>
      </c>
      <c r="C60" s="2" t="s">
        <v>767</v>
      </c>
      <c r="D60" s="2"/>
    </row>
    <row r="61" spans="1:6" x14ac:dyDescent="0.3">
      <c r="A61" s="21" t="s">
        <v>861</v>
      </c>
      <c r="B61" s="101">
        <f>$B$57-$B$60</f>
        <v>11031.933677697562</v>
      </c>
      <c r="C61" s="2" t="s">
        <v>767</v>
      </c>
      <c r="D61" s="2" t="s">
        <v>862</v>
      </c>
    </row>
    <row r="63" spans="1:6" ht="30" customHeight="1" x14ac:dyDescent="0.3">
      <c r="A63" s="125" t="s">
        <v>863</v>
      </c>
      <c r="B63" s="126"/>
      <c r="C63" s="126"/>
      <c r="D63" s="126"/>
      <c r="E63" s="126"/>
      <c r="F63" s="126"/>
    </row>
    <row r="64" spans="1:6" ht="30" customHeight="1" x14ac:dyDescent="0.3">
      <c r="A64" s="125" t="s">
        <v>864</v>
      </c>
      <c r="B64" s="126"/>
      <c r="C64" s="126"/>
      <c r="D64" s="126"/>
      <c r="E64" s="126"/>
      <c r="F64" s="126"/>
    </row>
    <row r="65" spans="1:6" ht="30" customHeight="1" x14ac:dyDescent="0.3">
      <c r="A65" s="125" t="s">
        <v>865</v>
      </c>
      <c r="B65" s="126"/>
      <c r="C65" s="126"/>
      <c r="D65" s="126"/>
      <c r="E65" s="126"/>
      <c r="F65" s="126"/>
    </row>
    <row r="66" spans="1:6" ht="30" customHeight="1" x14ac:dyDescent="0.3">
      <c r="A66" s="125" t="s">
        <v>866</v>
      </c>
      <c r="B66" s="126"/>
      <c r="C66" s="126"/>
      <c r="D66" s="126"/>
      <c r="E66" s="126"/>
      <c r="F66" s="126"/>
    </row>
  </sheetData>
  <mergeCells count="5">
    <mergeCell ref="A63:F63"/>
    <mergeCell ref="A66:F66"/>
    <mergeCell ref="A2:J2"/>
    <mergeCell ref="A64:F64"/>
    <mergeCell ref="A65:F65"/>
  </mergeCells>
  <hyperlinks>
    <hyperlink ref="A3" location="'Summary'!A1" display="← Summary" xr:uid="{00000000-0004-0000-0300-000000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43"/>
  <sheetViews>
    <sheetView showGridLines="0" workbookViewId="0">
      <pane ySplit="4" topLeftCell="A5" activePane="bottomLeft" state="frozen"/>
      <selection pane="bottomLeft"/>
    </sheetView>
  </sheetViews>
  <sheetFormatPr defaultRowHeight="14.4" x14ac:dyDescent="0.3"/>
  <cols>
    <col min="1" max="1" width="40" customWidth="1"/>
    <col min="2" max="2" width="14" customWidth="1"/>
    <col min="3" max="3" width="12" customWidth="1"/>
    <col min="4" max="4" width="9" customWidth="1"/>
    <col min="5" max="5" width="7" customWidth="1"/>
    <col min="6" max="6" width="34" customWidth="1"/>
    <col min="7" max="7" width="12" customWidth="1"/>
    <col min="8" max="10" width="13" customWidth="1"/>
    <col min="11" max="11" width="58" customWidth="1"/>
  </cols>
  <sheetData>
    <row r="1" spans="1:11" ht="17.399999999999999" x14ac:dyDescent="0.3">
      <c r="A1" s="60" t="s">
        <v>867</v>
      </c>
    </row>
    <row r="2" spans="1:11" ht="84" customHeight="1" x14ac:dyDescent="0.3">
      <c r="A2" s="125" t="s">
        <v>868</v>
      </c>
      <c r="B2" s="126"/>
      <c r="C2" s="126"/>
      <c r="D2" s="126"/>
      <c r="E2" s="126"/>
      <c r="F2" s="126"/>
      <c r="G2" s="126"/>
      <c r="H2" s="126"/>
      <c r="I2" s="126"/>
      <c r="J2" s="126"/>
    </row>
    <row r="3" spans="1:11" x14ac:dyDescent="0.3">
      <c r="A3" s="3" t="s">
        <v>127</v>
      </c>
    </row>
    <row r="5" spans="1:11" x14ac:dyDescent="0.3">
      <c r="A5" s="4" t="s">
        <v>869</v>
      </c>
      <c r="B5" s="5"/>
      <c r="C5" s="5"/>
      <c r="D5" s="5"/>
      <c r="E5" s="5"/>
      <c r="F5" s="5"/>
      <c r="G5" s="5"/>
      <c r="H5" s="5"/>
      <c r="I5" s="5"/>
      <c r="J5" s="5"/>
      <c r="K5" s="5"/>
    </row>
    <row r="6" spans="1:11" x14ac:dyDescent="0.3">
      <c r="A6" s="21" t="s">
        <v>870</v>
      </c>
      <c r="B6" s="72" t="str">
        <f>Summary!$B$7</f>
        <v>A</v>
      </c>
      <c r="C6" s="2"/>
      <c r="D6" s="2" t="s">
        <v>871</v>
      </c>
    </row>
    <row r="7" spans="1:11" x14ac:dyDescent="0.3">
      <c r="A7" s="21" t="s">
        <v>295</v>
      </c>
      <c r="B7" s="72">
        <f>Walls!$B$113</f>
        <v>480</v>
      </c>
      <c r="C7" s="2" t="s">
        <v>152</v>
      </c>
      <c r="D7" s="2" t="s">
        <v>872</v>
      </c>
    </row>
    <row r="8" spans="1:11" x14ac:dyDescent="0.3">
      <c r="A8" s="21" t="s">
        <v>296</v>
      </c>
      <c r="B8" s="72">
        <f>Walls!$B$114</f>
        <v>359</v>
      </c>
      <c r="C8" s="2" t="s">
        <v>152</v>
      </c>
      <c r="D8" s="2" t="s">
        <v>872</v>
      </c>
    </row>
    <row r="9" spans="1:11" x14ac:dyDescent="0.3">
      <c r="A9" s="21" t="s">
        <v>795</v>
      </c>
      <c r="B9" s="81">
        <f>$B$7*$B$8/144</f>
        <v>1196.6666666666667</v>
      </c>
      <c r="C9" s="2" t="s">
        <v>302</v>
      </c>
      <c r="D9" s="2"/>
    </row>
    <row r="10" spans="1:11" x14ac:dyDescent="0.3">
      <c r="A10" s="21" t="s">
        <v>873</v>
      </c>
      <c r="B10" s="81">
        <f>2*($B$7+$B$8)/12</f>
        <v>139.83333333333334</v>
      </c>
      <c r="C10" s="2" t="s">
        <v>299</v>
      </c>
      <c r="D10" s="2"/>
    </row>
    <row r="11" spans="1:11" x14ac:dyDescent="0.3">
      <c r="A11" s="21" t="s">
        <v>257</v>
      </c>
      <c r="B11" s="32">
        <f>Walls!$B$91</f>
        <v>35</v>
      </c>
      <c r="C11" s="2" t="s">
        <v>258</v>
      </c>
      <c r="D11" s="2" t="s">
        <v>874</v>
      </c>
    </row>
    <row r="12" spans="1:11" x14ac:dyDescent="0.3">
      <c r="A12" s="21" t="s">
        <v>598</v>
      </c>
      <c r="B12" s="77">
        <f>Walls!$B$81</f>
        <v>0.1</v>
      </c>
      <c r="C12" s="2" t="s">
        <v>240</v>
      </c>
      <c r="D12" s="2" t="s">
        <v>875</v>
      </c>
    </row>
    <row r="13" spans="1:11" x14ac:dyDescent="0.3">
      <c r="A13" s="21" t="s">
        <v>876</v>
      </c>
      <c r="B13" s="76">
        <v>160</v>
      </c>
      <c r="C13" s="2" t="s">
        <v>232</v>
      </c>
      <c r="D13" s="2" t="s">
        <v>877</v>
      </c>
    </row>
    <row r="14" spans="1:11" x14ac:dyDescent="0.3">
      <c r="A14" s="21" t="s">
        <v>878</v>
      </c>
      <c r="B14" s="76">
        <v>35</v>
      </c>
      <c r="C14" s="2" t="s">
        <v>232</v>
      </c>
      <c r="D14" s="2" t="s">
        <v>776</v>
      </c>
    </row>
    <row r="15" spans="1:11" x14ac:dyDescent="0.3">
      <c r="A15" s="21" t="s">
        <v>879</v>
      </c>
      <c r="B15" s="76">
        <v>0.9</v>
      </c>
      <c r="C15" s="2" t="s">
        <v>622</v>
      </c>
      <c r="D15" s="2" t="s">
        <v>776</v>
      </c>
    </row>
    <row r="16" spans="1:11" x14ac:dyDescent="0.3">
      <c r="A16" s="21" t="s">
        <v>880</v>
      </c>
      <c r="B16" s="76">
        <v>0.35</v>
      </c>
      <c r="C16" s="2" t="s">
        <v>881</v>
      </c>
      <c r="D16" s="2" t="s">
        <v>776</v>
      </c>
    </row>
    <row r="17" spans="1:11" x14ac:dyDescent="0.3">
      <c r="A17" s="21" t="s">
        <v>882</v>
      </c>
      <c r="B17" s="76">
        <v>0.12</v>
      </c>
      <c r="C17" s="2" t="s">
        <v>881</v>
      </c>
      <c r="D17" s="2" t="s">
        <v>776</v>
      </c>
    </row>
    <row r="18" spans="1:11" x14ac:dyDescent="0.3">
      <c r="A18" s="21" t="s">
        <v>883</v>
      </c>
      <c r="B18" s="76">
        <v>2</v>
      </c>
      <c r="C18" s="2" t="s">
        <v>622</v>
      </c>
      <c r="D18" s="2" t="s">
        <v>884</v>
      </c>
    </row>
    <row r="20" spans="1:11" x14ac:dyDescent="0.3">
      <c r="A20" s="4" t="s">
        <v>885</v>
      </c>
      <c r="B20" s="5"/>
      <c r="C20" s="5"/>
      <c r="D20" s="5"/>
      <c r="E20" s="5"/>
      <c r="F20" s="5"/>
      <c r="G20" s="5"/>
      <c r="H20" s="5"/>
      <c r="I20" s="5"/>
      <c r="J20" s="5"/>
      <c r="K20" s="5"/>
    </row>
    <row r="21" spans="1:11" x14ac:dyDescent="0.3">
      <c r="A21" s="21" t="s">
        <v>886</v>
      </c>
      <c r="B21" s="71">
        <v>4</v>
      </c>
      <c r="C21" s="2" t="s">
        <v>152</v>
      </c>
      <c r="D21" s="2" t="s">
        <v>887</v>
      </c>
    </row>
    <row r="22" spans="1:11" x14ac:dyDescent="0.3">
      <c r="A22" s="21" t="s">
        <v>888</v>
      </c>
      <c r="B22" s="7">
        <v>12</v>
      </c>
      <c r="C22" s="2" t="s">
        <v>152</v>
      </c>
      <c r="D22" s="2" t="s">
        <v>889</v>
      </c>
    </row>
    <row r="23" spans="1:11" x14ac:dyDescent="0.3">
      <c r="A23" s="21" t="s">
        <v>890</v>
      </c>
      <c r="B23" s="7">
        <v>12</v>
      </c>
      <c r="C23" s="2" t="s">
        <v>152</v>
      </c>
      <c r="D23" s="2" t="s">
        <v>891</v>
      </c>
    </row>
    <row r="24" spans="1:11" x14ac:dyDescent="0.3">
      <c r="A24" s="21" t="s">
        <v>892</v>
      </c>
      <c r="B24" s="7">
        <v>4</v>
      </c>
      <c r="C24" s="2" t="s">
        <v>152</v>
      </c>
      <c r="D24" s="2" t="s">
        <v>891</v>
      </c>
    </row>
    <row r="25" spans="1:11" x14ac:dyDescent="0.3">
      <c r="A25" s="21" t="s">
        <v>893</v>
      </c>
      <c r="B25" s="7">
        <v>2</v>
      </c>
      <c r="C25" s="2" t="s">
        <v>147</v>
      </c>
      <c r="D25" s="2" t="s">
        <v>894</v>
      </c>
    </row>
    <row r="26" spans="1:11" x14ac:dyDescent="0.3">
      <c r="A26" s="21" t="s">
        <v>895</v>
      </c>
      <c r="B26" s="7">
        <v>0.03</v>
      </c>
      <c r="C26" s="2" t="s">
        <v>630</v>
      </c>
      <c r="D26" s="2" t="s">
        <v>891</v>
      </c>
    </row>
    <row r="27" spans="1:11" x14ac:dyDescent="0.3">
      <c r="A27" s="21" t="s">
        <v>896</v>
      </c>
      <c r="B27" s="7">
        <v>0.05</v>
      </c>
      <c r="C27" s="2" t="s">
        <v>630</v>
      </c>
      <c r="D27" s="2" t="s">
        <v>897</v>
      </c>
    </row>
    <row r="28" spans="1:11" x14ac:dyDescent="0.3">
      <c r="A28" s="21" t="s">
        <v>898</v>
      </c>
      <c r="B28" s="7">
        <v>0.25</v>
      </c>
      <c r="C28" s="2" t="s">
        <v>899</v>
      </c>
      <c r="D28" s="2" t="s">
        <v>891</v>
      </c>
    </row>
    <row r="29" spans="1:11" x14ac:dyDescent="0.3">
      <c r="A29" s="21" t="s">
        <v>900</v>
      </c>
      <c r="B29" s="80">
        <f>$B$9*$B$21/12/27</f>
        <v>14.77366255144033</v>
      </c>
      <c r="C29" s="2" t="s">
        <v>395</v>
      </c>
      <c r="D29" s="2"/>
    </row>
    <row r="30" spans="1:11" x14ac:dyDescent="0.3">
      <c r="A30" s="21" t="s">
        <v>901</v>
      </c>
      <c r="B30" s="80">
        <f>$B$10*$B$22/12*$B$23/12/27</f>
        <v>5.1790123456790127</v>
      </c>
      <c r="C30" s="2" t="s">
        <v>395</v>
      </c>
      <c r="D30" s="2"/>
    </row>
    <row r="31" spans="1:11" x14ac:dyDescent="0.3">
      <c r="A31" s="21" t="s">
        <v>902</v>
      </c>
      <c r="B31" s="80">
        <f>($B$29+$B$30)*(1+$B$12)</f>
        <v>21.947942386831279</v>
      </c>
      <c r="C31" s="2" t="s">
        <v>395</v>
      </c>
      <c r="D31" s="2" t="s">
        <v>903</v>
      </c>
    </row>
    <row r="33" spans="1:11" x14ac:dyDescent="0.3">
      <c r="A33" s="11" t="s">
        <v>417</v>
      </c>
      <c r="B33" s="11" t="s">
        <v>418</v>
      </c>
      <c r="C33" s="11" t="s">
        <v>419</v>
      </c>
      <c r="D33" s="11" t="s">
        <v>420</v>
      </c>
      <c r="E33" s="11" t="s">
        <v>421</v>
      </c>
      <c r="F33" s="11" t="s">
        <v>422</v>
      </c>
      <c r="G33" s="11" t="s">
        <v>423</v>
      </c>
      <c r="H33" s="11" t="s">
        <v>424</v>
      </c>
      <c r="I33" s="11" t="s">
        <v>425</v>
      </c>
      <c r="J33" s="11" t="s">
        <v>426</v>
      </c>
      <c r="K33" s="11" t="s">
        <v>427</v>
      </c>
    </row>
    <row r="34" spans="1:11" x14ac:dyDescent="0.3">
      <c r="A34" s="84" t="s">
        <v>904</v>
      </c>
      <c r="B34" s="85">
        <f>$B$31</f>
        <v>21.947942386831279</v>
      </c>
      <c r="C34" s="86" t="s">
        <v>395</v>
      </c>
      <c r="D34" s="84" t="s">
        <v>430</v>
      </c>
      <c r="E34" s="71" t="s">
        <v>444</v>
      </c>
      <c r="F34" s="86" t="s">
        <v>905</v>
      </c>
      <c r="G34" s="89">
        <f>$B$13</f>
        <v>160</v>
      </c>
      <c r="H34" s="13">
        <f t="shared" ref="H34:H42" si="0">IF(D34="Material",B34*G34,0)</f>
        <v>3511.6707818930045</v>
      </c>
      <c r="I34" s="13">
        <f t="shared" ref="I34:I42" si="1">IF(D34="Labor",B34*G34,0)</f>
        <v>0</v>
      </c>
      <c r="J34" s="13">
        <f t="shared" ref="J34:J42" si="2">H34+I34</f>
        <v>3511.6707818930045</v>
      </c>
      <c r="K34" s="86"/>
    </row>
    <row r="35" spans="1:11" x14ac:dyDescent="0.3">
      <c r="A35" s="84" t="s">
        <v>878</v>
      </c>
      <c r="B35" s="85">
        <f>$B$9*$B$24/12/27*1.1</f>
        <v>16.251028806584365</v>
      </c>
      <c r="C35" s="86" t="s">
        <v>395</v>
      </c>
      <c r="D35" s="84" t="s">
        <v>430</v>
      </c>
      <c r="E35" s="71" t="s">
        <v>444</v>
      </c>
      <c r="F35" s="86" t="s">
        <v>906</v>
      </c>
      <c r="G35" s="89">
        <f>$B$14</f>
        <v>35</v>
      </c>
      <c r="H35" s="13">
        <f t="shared" si="0"/>
        <v>568.78600823045281</v>
      </c>
      <c r="I35" s="13">
        <f t="shared" si="1"/>
        <v>0</v>
      </c>
      <c r="J35" s="13">
        <f t="shared" si="2"/>
        <v>568.78600823045281</v>
      </c>
      <c r="K35" s="86"/>
    </row>
    <row r="36" spans="1:11" x14ac:dyDescent="0.3">
      <c r="A36" s="84" t="s">
        <v>882</v>
      </c>
      <c r="B36" s="85">
        <f>$B$9*1.1</f>
        <v>1316.3333333333335</v>
      </c>
      <c r="C36" s="86" t="s">
        <v>302</v>
      </c>
      <c r="D36" s="84" t="s">
        <v>430</v>
      </c>
      <c r="E36" s="71" t="s">
        <v>444</v>
      </c>
      <c r="F36" s="86" t="s">
        <v>907</v>
      </c>
      <c r="G36" s="89">
        <f>$B$17</f>
        <v>0.12</v>
      </c>
      <c r="H36" s="13">
        <f t="shared" si="0"/>
        <v>157.96</v>
      </c>
      <c r="I36" s="13">
        <f t="shared" si="1"/>
        <v>0</v>
      </c>
      <c r="J36" s="13">
        <f t="shared" si="2"/>
        <v>157.96</v>
      </c>
      <c r="K36" s="86"/>
    </row>
    <row r="37" spans="1:11" x14ac:dyDescent="0.3">
      <c r="A37" s="84" t="s">
        <v>908</v>
      </c>
      <c r="B37" s="85">
        <f>$B$9*1.1</f>
        <v>1316.3333333333335</v>
      </c>
      <c r="C37" s="86" t="s">
        <v>302</v>
      </c>
      <c r="D37" s="84" t="s">
        <v>430</v>
      </c>
      <c r="E37" s="71" t="s">
        <v>444</v>
      </c>
      <c r="F37" s="86" t="s">
        <v>909</v>
      </c>
      <c r="G37" s="89">
        <f>$B$16</f>
        <v>0.35</v>
      </c>
      <c r="H37" s="13">
        <f t="shared" si="0"/>
        <v>460.7166666666667</v>
      </c>
      <c r="I37" s="13">
        <f t="shared" si="1"/>
        <v>0</v>
      </c>
      <c r="J37" s="13">
        <f t="shared" si="2"/>
        <v>460.7166666666667</v>
      </c>
      <c r="K37" s="86"/>
    </row>
    <row r="38" spans="1:11" x14ac:dyDescent="0.3">
      <c r="A38" s="84" t="s">
        <v>910</v>
      </c>
      <c r="B38" s="85">
        <f>$B$10*$B$25*1.1</f>
        <v>307.63333333333338</v>
      </c>
      <c r="C38" s="86" t="s">
        <v>299</v>
      </c>
      <c r="D38" s="84" t="s">
        <v>430</v>
      </c>
      <c r="E38" s="71" t="s">
        <v>444</v>
      </c>
      <c r="F38" s="86" t="s">
        <v>911</v>
      </c>
      <c r="G38" s="89">
        <f>$B$15</f>
        <v>0.9</v>
      </c>
      <c r="H38" s="13">
        <f t="shared" si="0"/>
        <v>276.87000000000006</v>
      </c>
      <c r="I38" s="13">
        <f t="shared" si="1"/>
        <v>0</v>
      </c>
      <c r="J38" s="13">
        <f t="shared" si="2"/>
        <v>276.87000000000006</v>
      </c>
      <c r="K38" s="86"/>
    </row>
    <row r="39" spans="1:11" x14ac:dyDescent="0.3">
      <c r="A39" s="84" t="s">
        <v>912</v>
      </c>
      <c r="B39" s="85">
        <f>$B$10</f>
        <v>139.83333333333334</v>
      </c>
      <c r="C39" s="86" t="s">
        <v>299</v>
      </c>
      <c r="D39" s="84" t="s">
        <v>430</v>
      </c>
      <c r="E39" s="71" t="s">
        <v>444</v>
      </c>
      <c r="F39" s="86" t="s">
        <v>913</v>
      </c>
      <c r="G39" s="89">
        <f>$B$18</f>
        <v>2</v>
      </c>
      <c r="H39" s="13">
        <f t="shared" si="0"/>
        <v>279.66666666666669</v>
      </c>
      <c r="I39" s="13">
        <f t="shared" si="1"/>
        <v>0</v>
      </c>
      <c r="J39" s="13">
        <f t="shared" si="2"/>
        <v>279.66666666666669</v>
      </c>
      <c r="K39" s="86"/>
    </row>
    <row r="40" spans="1:11" x14ac:dyDescent="0.3">
      <c r="A40" s="84" t="s">
        <v>914</v>
      </c>
      <c r="B40" s="85">
        <f>$B$9*$B$26</f>
        <v>35.9</v>
      </c>
      <c r="C40" s="86" t="s">
        <v>261</v>
      </c>
      <c r="D40" s="84" t="s">
        <v>24</v>
      </c>
      <c r="E40" s="71" t="s">
        <v>444</v>
      </c>
      <c r="F40" s="86" t="s">
        <v>915</v>
      </c>
      <c r="G40" s="89">
        <f>$B$11</f>
        <v>35</v>
      </c>
      <c r="H40" s="13">
        <f t="shared" si="0"/>
        <v>0</v>
      </c>
      <c r="I40" s="13">
        <f t="shared" si="1"/>
        <v>1256.5</v>
      </c>
      <c r="J40" s="13">
        <f t="shared" si="2"/>
        <v>1256.5</v>
      </c>
      <c r="K40" s="86"/>
    </row>
    <row r="41" spans="1:11" x14ac:dyDescent="0.3">
      <c r="A41" s="84" t="s">
        <v>916</v>
      </c>
      <c r="B41" s="85">
        <f>$B$9*$B$27</f>
        <v>59.833333333333343</v>
      </c>
      <c r="C41" s="86" t="s">
        <v>261</v>
      </c>
      <c r="D41" s="84" t="s">
        <v>24</v>
      </c>
      <c r="E41" s="71" t="s">
        <v>444</v>
      </c>
      <c r="F41" s="86" t="s">
        <v>915</v>
      </c>
      <c r="G41" s="89">
        <f>$B$11</f>
        <v>35</v>
      </c>
      <c r="H41" s="13">
        <f t="shared" si="0"/>
        <v>0</v>
      </c>
      <c r="I41" s="13">
        <f t="shared" si="1"/>
        <v>2094.166666666667</v>
      </c>
      <c r="J41" s="13">
        <f t="shared" si="2"/>
        <v>2094.166666666667</v>
      </c>
      <c r="K41" s="86"/>
    </row>
    <row r="42" spans="1:11" x14ac:dyDescent="0.3">
      <c r="A42" s="84" t="s">
        <v>917</v>
      </c>
      <c r="B42" s="85">
        <f>$B$10*$B$28</f>
        <v>34.958333333333336</v>
      </c>
      <c r="C42" s="86" t="s">
        <v>261</v>
      </c>
      <c r="D42" s="84" t="s">
        <v>24</v>
      </c>
      <c r="E42" s="71" t="s">
        <v>444</v>
      </c>
      <c r="F42" s="86" t="s">
        <v>915</v>
      </c>
      <c r="G42" s="89">
        <f>$B$11</f>
        <v>35</v>
      </c>
      <c r="H42" s="13">
        <f t="shared" si="0"/>
        <v>0</v>
      </c>
      <c r="I42" s="13">
        <f t="shared" si="1"/>
        <v>1223.5416666666667</v>
      </c>
      <c r="J42" s="13">
        <f t="shared" si="2"/>
        <v>1223.5416666666667</v>
      </c>
      <c r="K42" s="86"/>
    </row>
    <row r="43" spans="1:11" x14ac:dyDescent="0.3">
      <c r="A43" s="16" t="s">
        <v>918</v>
      </c>
      <c r="B43" s="20"/>
      <c r="C43" s="20"/>
      <c r="D43" s="20"/>
      <c r="E43" s="20"/>
      <c r="F43" s="20"/>
      <c r="G43" s="20"/>
      <c r="H43" s="88">
        <f>SUM(H34:H42)</f>
        <v>5255.67012345679</v>
      </c>
      <c r="I43" s="88">
        <f>SUM(I34:I42)</f>
        <v>4574.2083333333339</v>
      </c>
      <c r="J43" s="88">
        <f>SUM(J34:J42)</f>
        <v>9829.8784567901221</v>
      </c>
      <c r="K43" s="20"/>
    </row>
    <row r="45" spans="1:11" x14ac:dyDescent="0.3">
      <c r="A45" s="4" t="s">
        <v>919</v>
      </c>
      <c r="B45" s="5"/>
      <c r="C45" s="5"/>
      <c r="D45" s="5"/>
      <c r="E45" s="5"/>
      <c r="F45" s="5"/>
      <c r="G45" s="5"/>
      <c r="H45" s="5"/>
      <c r="I45" s="5"/>
      <c r="J45" s="5"/>
      <c r="K45" s="5"/>
    </row>
    <row r="46" spans="1:11" x14ac:dyDescent="0.3">
      <c r="A46" s="21" t="s">
        <v>920</v>
      </c>
      <c r="B46" s="7">
        <v>16</v>
      </c>
      <c r="C46" s="2" t="s">
        <v>152</v>
      </c>
      <c r="D46" s="2" t="s">
        <v>921</v>
      </c>
    </row>
    <row r="47" spans="1:11" x14ac:dyDescent="0.3">
      <c r="A47" s="21" t="s">
        <v>922</v>
      </c>
      <c r="B47" s="7">
        <v>8</v>
      </c>
      <c r="C47" s="2" t="s">
        <v>152</v>
      </c>
      <c r="D47" s="2" t="s">
        <v>891</v>
      </c>
    </row>
    <row r="48" spans="1:11" x14ac:dyDescent="0.3">
      <c r="A48" s="21" t="s">
        <v>923</v>
      </c>
      <c r="B48" s="7">
        <v>1</v>
      </c>
      <c r="C48" s="2" t="s">
        <v>924</v>
      </c>
      <c r="D48" s="2" t="s">
        <v>925</v>
      </c>
    </row>
    <row r="49" spans="1:4" x14ac:dyDescent="0.3">
      <c r="A49" s="21" t="s">
        <v>926</v>
      </c>
      <c r="B49" s="7">
        <v>2</v>
      </c>
      <c r="C49" s="2" t="s">
        <v>147</v>
      </c>
      <c r="D49" s="2" t="s">
        <v>894</v>
      </c>
    </row>
    <row r="50" spans="1:4" x14ac:dyDescent="0.3">
      <c r="A50" s="21" t="s">
        <v>927</v>
      </c>
      <c r="B50" s="76">
        <v>8</v>
      </c>
      <c r="C50" s="2" t="s">
        <v>622</v>
      </c>
      <c r="D50" s="2" t="s">
        <v>928</v>
      </c>
    </row>
    <row r="51" spans="1:4" x14ac:dyDescent="0.3">
      <c r="A51" s="21" t="s">
        <v>929</v>
      </c>
      <c r="B51" s="7">
        <v>0.5</v>
      </c>
      <c r="C51" s="2" t="s">
        <v>899</v>
      </c>
      <c r="D51" s="2" t="s">
        <v>891</v>
      </c>
    </row>
    <row r="52" spans="1:4" x14ac:dyDescent="0.3">
      <c r="A52" s="21" t="s">
        <v>930</v>
      </c>
      <c r="B52" s="81">
        <f>$B$10+IF($B$48=1,$B$7/12,0)</f>
        <v>179.83333333333334</v>
      </c>
      <c r="C52" s="2" t="s">
        <v>299</v>
      </c>
      <c r="D52" s="2"/>
    </row>
    <row r="53" spans="1:4" x14ac:dyDescent="0.3">
      <c r="A53" s="21" t="s">
        <v>931</v>
      </c>
      <c r="B53" s="80">
        <f>$B$52*$B$46/12*$B$47/12/27*(1+$B$12)</f>
        <v>6.5124828532235952</v>
      </c>
      <c r="C53" s="2" t="s">
        <v>395</v>
      </c>
      <c r="D53" s="2"/>
    </row>
    <row r="55" spans="1:4" x14ac:dyDescent="0.3">
      <c r="A55" s="6" t="s">
        <v>932</v>
      </c>
    </row>
    <row r="56" spans="1:4" x14ac:dyDescent="0.3">
      <c r="A56" s="21" t="s">
        <v>933</v>
      </c>
      <c r="B56" s="71">
        <v>2</v>
      </c>
      <c r="C56" s="2" t="s">
        <v>152</v>
      </c>
      <c r="D56" s="2" t="s">
        <v>934</v>
      </c>
    </row>
    <row r="57" spans="1:4" x14ac:dyDescent="0.3">
      <c r="A57" s="21" t="s">
        <v>161</v>
      </c>
      <c r="B57" s="71">
        <v>1.5</v>
      </c>
      <c r="C57" s="2" t="s">
        <v>152</v>
      </c>
      <c r="D57" s="2" t="s">
        <v>935</v>
      </c>
    </row>
    <row r="58" spans="1:4" x14ac:dyDescent="0.3">
      <c r="A58" s="21" t="s">
        <v>163</v>
      </c>
      <c r="B58" s="71">
        <v>6</v>
      </c>
      <c r="C58" s="2" t="s">
        <v>152</v>
      </c>
      <c r="D58" s="2" t="s">
        <v>936</v>
      </c>
    </row>
    <row r="59" spans="1:4" x14ac:dyDescent="0.3">
      <c r="A59" s="21" t="s">
        <v>937</v>
      </c>
      <c r="B59" s="71">
        <v>6.5</v>
      </c>
      <c r="C59" s="2" t="s">
        <v>152</v>
      </c>
      <c r="D59" s="2" t="s">
        <v>938</v>
      </c>
    </row>
    <row r="60" spans="1:4" x14ac:dyDescent="0.3">
      <c r="A60" s="21" t="s">
        <v>168</v>
      </c>
      <c r="B60" s="71">
        <v>16</v>
      </c>
      <c r="C60" s="2" t="s">
        <v>169</v>
      </c>
      <c r="D60" s="2" t="s">
        <v>935</v>
      </c>
    </row>
    <row r="61" spans="1:4" x14ac:dyDescent="0.3">
      <c r="A61" s="21" t="s">
        <v>939</v>
      </c>
      <c r="B61" s="71">
        <v>1.625</v>
      </c>
      <c r="C61" s="2" t="s">
        <v>152</v>
      </c>
      <c r="D61" s="2" t="s">
        <v>935</v>
      </c>
    </row>
    <row r="62" spans="1:4" x14ac:dyDescent="0.3">
      <c r="A62" s="21" t="s">
        <v>940</v>
      </c>
      <c r="B62" s="71">
        <v>48</v>
      </c>
      <c r="C62" s="2" t="s">
        <v>152</v>
      </c>
      <c r="D62" s="2" t="s">
        <v>941</v>
      </c>
    </row>
    <row r="63" spans="1:4" x14ac:dyDescent="0.3">
      <c r="A63" s="21" t="s">
        <v>942</v>
      </c>
      <c r="B63" s="71">
        <v>8</v>
      </c>
      <c r="C63" s="2" t="s">
        <v>147</v>
      </c>
      <c r="D63" s="2" t="s">
        <v>943</v>
      </c>
    </row>
    <row r="64" spans="1:4" x14ac:dyDescent="0.3">
      <c r="A64" s="21" t="s">
        <v>944</v>
      </c>
      <c r="B64" s="72">
        <f>Walls!$B$75</f>
        <v>35</v>
      </c>
      <c r="C64" s="2" t="s">
        <v>224</v>
      </c>
      <c r="D64" s="2" t="s">
        <v>875</v>
      </c>
    </row>
    <row r="65" spans="1:4" x14ac:dyDescent="0.3">
      <c r="A65" s="21" t="s">
        <v>242</v>
      </c>
      <c r="B65" s="77">
        <f>Walls!$B$82</f>
        <v>0.1</v>
      </c>
      <c r="C65" s="2" t="s">
        <v>240</v>
      </c>
      <c r="D65" s="2" t="s">
        <v>875</v>
      </c>
    </row>
    <row r="66" spans="1:4" x14ac:dyDescent="0.3">
      <c r="A66" s="21" t="s">
        <v>945</v>
      </c>
      <c r="B66" s="32">
        <f>Walls!$B$78+Walls!$B$79</f>
        <v>220</v>
      </c>
      <c r="C66" s="2" t="s">
        <v>232</v>
      </c>
      <c r="D66" s="2" t="s">
        <v>946</v>
      </c>
    </row>
    <row r="67" spans="1:4" x14ac:dyDescent="0.3">
      <c r="A67" s="21" t="s">
        <v>947</v>
      </c>
      <c r="B67" s="76">
        <v>2.42</v>
      </c>
      <c r="C67" s="2" t="s">
        <v>622</v>
      </c>
      <c r="D67" s="2" t="s">
        <v>948</v>
      </c>
    </row>
    <row r="68" spans="1:4" x14ac:dyDescent="0.3">
      <c r="A68" s="21" t="s">
        <v>949</v>
      </c>
      <c r="B68" s="76">
        <v>2.42</v>
      </c>
      <c r="C68" s="2" t="s">
        <v>622</v>
      </c>
      <c r="D68" s="2" t="s">
        <v>950</v>
      </c>
    </row>
    <row r="69" spans="1:4" x14ac:dyDescent="0.3">
      <c r="A69" s="21" t="s">
        <v>951</v>
      </c>
      <c r="B69" s="76">
        <v>0.73</v>
      </c>
      <c r="C69" s="2" t="s">
        <v>622</v>
      </c>
      <c r="D69" s="2" t="s">
        <v>952</v>
      </c>
    </row>
    <row r="70" spans="1:4" x14ac:dyDescent="0.3">
      <c r="A70" s="21" t="s">
        <v>953</v>
      </c>
      <c r="B70" s="76">
        <v>0.08</v>
      </c>
      <c r="C70" s="2" t="s">
        <v>954</v>
      </c>
      <c r="D70" s="2" t="s">
        <v>776</v>
      </c>
    </row>
    <row r="71" spans="1:4" x14ac:dyDescent="0.3">
      <c r="A71" s="21" t="s">
        <v>467</v>
      </c>
      <c r="B71" s="76">
        <v>0.95</v>
      </c>
      <c r="C71" s="2" t="s">
        <v>881</v>
      </c>
      <c r="D71" s="2" t="s">
        <v>776</v>
      </c>
    </row>
    <row r="72" spans="1:4" x14ac:dyDescent="0.3">
      <c r="A72" s="21" t="s">
        <v>955</v>
      </c>
      <c r="B72" s="76">
        <v>0.6</v>
      </c>
      <c r="C72" s="2" t="s">
        <v>954</v>
      </c>
      <c r="D72" s="2" t="s">
        <v>776</v>
      </c>
    </row>
    <row r="73" spans="1:4" x14ac:dyDescent="0.3">
      <c r="A73" s="21" t="s">
        <v>942</v>
      </c>
      <c r="B73" s="76">
        <v>28</v>
      </c>
      <c r="C73" s="2" t="s">
        <v>954</v>
      </c>
      <c r="D73" s="2" t="s">
        <v>776</v>
      </c>
    </row>
    <row r="74" spans="1:4" x14ac:dyDescent="0.3">
      <c r="A74" s="21" t="s">
        <v>956</v>
      </c>
      <c r="B74" s="76">
        <v>0.12</v>
      </c>
      <c r="C74" s="2" t="s">
        <v>881</v>
      </c>
      <c r="D74" s="2" t="s">
        <v>776</v>
      </c>
    </row>
    <row r="75" spans="1:4" x14ac:dyDescent="0.3">
      <c r="A75" s="21" t="s">
        <v>957</v>
      </c>
      <c r="B75" s="76">
        <v>1.8</v>
      </c>
      <c r="C75" s="2" t="s">
        <v>622</v>
      </c>
      <c r="D75" s="2" t="s">
        <v>776</v>
      </c>
    </row>
    <row r="76" spans="1:4" x14ac:dyDescent="0.3">
      <c r="A76" s="21" t="s">
        <v>958</v>
      </c>
      <c r="B76" s="76">
        <v>1500</v>
      </c>
      <c r="C76" s="2" t="s">
        <v>959</v>
      </c>
      <c r="D76" s="2" t="s">
        <v>960</v>
      </c>
    </row>
    <row r="77" spans="1:4" x14ac:dyDescent="0.3">
      <c r="A77" s="21" t="s">
        <v>178</v>
      </c>
      <c r="B77" s="73">
        <f>Walls!$B$32</f>
        <v>2</v>
      </c>
      <c r="C77" s="2" t="s">
        <v>147</v>
      </c>
      <c r="D77" s="2" t="s">
        <v>961</v>
      </c>
    </row>
    <row r="78" spans="1:4" x14ac:dyDescent="0.3">
      <c r="A78" s="21" t="s">
        <v>962</v>
      </c>
      <c r="B78" s="109">
        <f>Roof!$B$56</f>
        <v>0.12</v>
      </c>
      <c r="C78" s="2" t="s">
        <v>630</v>
      </c>
      <c r="D78" s="2" t="s">
        <v>963</v>
      </c>
    </row>
    <row r="79" spans="1:4" x14ac:dyDescent="0.3">
      <c r="A79" s="21" t="s">
        <v>964</v>
      </c>
      <c r="B79" s="109">
        <f>Roof!$B$57</f>
        <v>0.03</v>
      </c>
      <c r="C79" s="2" t="s">
        <v>630</v>
      </c>
      <c r="D79" s="2" t="s">
        <v>965</v>
      </c>
    </row>
    <row r="80" spans="1:4" x14ac:dyDescent="0.3">
      <c r="A80" s="21" t="s">
        <v>966</v>
      </c>
      <c r="B80" s="110">
        <f>Roof!$B$58</f>
        <v>1.5</v>
      </c>
      <c r="C80" s="2" t="s">
        <v>270</v>
      </c>
      <c r="D80" s="2" t="s">
        <v>967</v>
      </c>
    </row>
    <row r="81" spans="1:11" x14ac:dyDescent="0.3">
      <c r="A81" s="21" t="s">
        <v>968</v>
      </c>
      <c r="B81" s="7">
        <v>32</v>
      </c>
      <c r="C81" s="2" t="s">
        <v>261</v>
      </c>
      <c r="D81" s="2" t="s">
        <v>969</v>
      </c>
    </row>
    <row r="82" spans="1:11" x14ac:dyDescent="0.3">
      <c r="A82" s="21" t="s">
        <v>970</v>
      </c>
      <c r="B82" s="74">
        <f>INT(($B$7-$B$61)/$B$60)+2</f>
        <v>31</v>
      </c>
      <c r="C82" s="2" t="s">
        <v>147</v>
      </c>
      <c r="D82" s="2" t="s">
        <v>971</v>
      </c>
    </row>
    <row r="83" spans="1:11" x14ac:dyDescent="0.3">
      <c r="A83" s="21" t="s">
        <v>972</v>
      </c>
      <c r="B83" s="82">
        <f>$B$8/12</f>
        <v>29.916666666666668</v>
      </c>
      <c r="C83" s="2" t="s">
        <v>249</v>
      </c>
      <c r="D83" s="2" t="s">
        <v>973</v>
      </c>
    </row>
    <row r="84" spans="1:11" x14ac:dyDescent="0.3">
      <c r="A84" s="21" t="s">
        <v>974</v>
      </c>
      <c r="B84" s="74">
        <f>INT(($B$8-24)/$B$62)+1+IF(MOD($B$8-24,$B$62)&gt;0,1,0)</f>
        <v>8</v>
      </c>
      <c r="C84" s="2" t="s">
        <v>147</v>
      </c>
      <c r="D84" s="2"/>
    </row>
    <row r="85" spans="1:11" x14ac:dyDescent="0.3">
      <c r="A85" s="21" t="s">
        <v>975</v>
      </c>
      <c r="B85" s="80">
        <f>$B$9*$B$59/12/27*(1+$B$12)</f>
        <v>26.407921810699591</v>
      </c>
      <c r="C85" s="2" t="s">
        <v>395</v>
      </c>
      <c r="D85" s="2" t="s">
        <v>976</v>
      </c>
    </row>
    <row r="86" spans="1:11" x14ac:dyDescent="0.3">
      <c r="A86" s="21" t="s">
        <v>977</v>
      </c>
      <c r="B86" s="83">
        <f>($B$59/12*$B$64+4)*$B$9</f>
        <v>27473.472222222223</v>
      </c>
      <c r="C86" s="2" t="s">
        <v>237</v>
      </c>
      <c r="D86" s="2" t="s">
        <v>978</v>
      </c>
    </row>
    <row r="88" spans="1:11" x14ac:dyDescent="0.3">
      <c r="A88" s="11" t="s">
        <v>417</v>
      </c>
      <c r="B88" s="11" t="s">
        <v>418</v>
      </c>
      <c r="C88" s="11" t="s">
        <v>419</v>
      </c>
      <c r="D88" s="11" t="s">
        <v>420</v>
      </c>
      <c r="E88" s="11" t="s">
        <v>421</v>
      </c>
      <c r="F88" s="11" t="s">
        <v>422</v>
      </c>
      <c r="G88" s="11" t="s">
        <v>423</v>
      </c>
      <c r="H88" s="11" t="s">
        <v>424</v>
      </c>
      <c r="I88" s="11" t="s">
        <v>425</v>
      </c>
      <c r="J88" s="11" t="s">
        <v>426</v>
      </c>
      <c r="K88" s="11" t="s">
        <v>427</v>
      </c>
    </row>
    <row r="89" spans="1:11" x14ac:dyDescent="0.3">
      <c r="A89" s="84" t="s">
        <v>927</v>
      </c>
      <c r="B89" s="85">
        <f>$B$52</f>
        <v>179.83333333333334</v>
      </c>
      <c r="C89" s="86" t="s">
        <v>299</v>
      </c>
      <c r="D89" s="84" t="s">
        <v>430</v>
      </c>
      <c r="E89" s="71" t="s">
        <v>444</v>
      </c>
      <c r="F89" s="86" t="s">
        <v>979</v>
      </c>
      <c r="G89" s="89">
        <f>$B$50</f>
        <v>8</v>
      </c>
      <c r="H89" s="13">
        <f t="shared" ref="H89:H108" si="3">IF(D89="Material",B89*G89,0)</f>
        <v>1438.6666666666667</v>
      </c>
      <c r="I89" s="13">
        <f t="shared" ref="I89:I108" si="4">IF(D89="Labor",B89*G89,0)</f>
        <v>0</v>
      </c>
      <c r="J89" s="13">
        <f t="shared" ref="J89:J108" si="5">H89+I89</f>
        <v>1438.6666666666667</v>
      </c>
      <c r="K89" s="86" t="s">
        <v>980</v>
      </c>
    </row>
    <row r="90" spans="1:11" x14ac:dyDescent="0.3">
      <c r="A90" s="84" t="s">
        <v>981</v>
      </c>
      <c r="B90" s="85">
        <f>$B$53</f>
        <v>6.5124828532235952</v>
      </c>
      <c r="C90" s="86" t="s">
        <v>395</v>
      </c>
      <c r="D90" s="84" t="s">
        <v>430</v>
      </c>
      <c r="E90" s="71" t="s">
        <v>444</v>
      </c>
      <c r="F90" s="86" t="s">
        <v>982</v>
      </c>
      <c r="G90" s="89">
        <f>$B$13</f>
        <v>160</v>
      </c>
      <c r="H90" s="13">
        <f t="shared" si="3"/>
        <v>1041.9972565157752</v>
      </c>
      <c r="I90" s="13">
        <f t="shared" si="4"/>
        <v>0</v>
      </c>
      <c r="J90" s="13">
        <f t="shared" si="5"/>
        <v>1041.9972565157752</v>
      </c>
      <c r="K90" s="86"/>
    </row>
    <row r="91" spans="1:11" x14ac:dyDescent="0.3">
      <c r="A91" s="84" t="s">
        <v>983</v>
      </c>
      <c r="B91" s="85">
        <f>$B$52*$B$49*1.1</f>
        <v>395.63333333333338</v>
      </c>
      <c r="C91" s="86" t="s">
        <v>299</v>
      </c>
      <c r="D91" s="84" t="s">
        <v>430</v>
      </c>
      <c r="E91" s="71" t="s">
        <v>444</v>
      </c>
      <c r="F91" s="86" t="s">
        <v>911</v>
      </c>
      <c r="G91" s="89">
        <f>$B$15</f>
        <v>0.9</v>
      </c>
      <c r="H91" s="13">
        <f t="shared" si="3"/>
        <v>356.07000000000005</v>
      </c>
      <c r="I91" s="13">
        <f t="shared" si="4"/>
        <v>0</v>
      </c>
      <c r="J91" s="13">
        <f t="shared" si="5"/>
        <v>356.07000000000005</v>
      </c>
      <c r="K91" s="86"/>
    </row>
    <row r="92" spans="1:11" x14ac:dyDescent="0.3">
      <c r="A92" s="84" t="s">
        <v>984</v>
      </c>
      <c r="B92" s="85">
        <f>$B$52*2</f>
        <v>359.66666666666669</v>
      </c>
      <c r="C92" s="86" t="s">
        <v>299</v>
      </c>
      <c r="D92" s="84" t="s">
        <v>430</v>
      </c>
      <c r="E92" s="71" t="s">
        <v>444</v>
      </c>
      <c r="F92" s="86" t="s">
        <v>985</v>
      </c>
      <c r="G92" s="89">
        <f>$B$18</f>
        <v>2</v>
      </c>
      <c r="H92" s="13">
        <f t="shared" si="3"/>
        <v>719.33333333333337</v>
      </c>
      <c r="I92" s="13">
        <f t="shared" si="4"/>
        <v>0</v>
      </c>
      <c r="J92" s="13">
        <f t="shared" si="5"/>
        <v>719.33333333333337</v>
      </c>
      <c r="K92" s="86"/>
    </row>
    <row r="93" spans="1:11" x14ac:dyDescent="0.3">
      <c r="A93" s="84" t="s">
        <v>986</v>
      </c>
      <c r="B93" s="85">
        <f>$B$52*$B$51</f>
        <v>89.916666666666671</v>
      </c>
      <c r="C93" s="86" t="s">
        <v>261</v>
      </c>
      <c r="D93" s="84" t="s">
        <v>24</v>
      </c>
      <c r="E93" s="71" t="s">
        <v>444</v>
      </c>
      <c r="F93" s="86" t="s">
        <v>915</v>
      </c>
      <c r="G93" s="89">
        <f>$B$11</f>
        <v>35</v>
      </c>
      <c r="H93" s="13">
        <f t="shared" si="3"/>
        <v>0</v>
      </c>
      <c r="I93" s="13">
        <f t="shared" si="4"/>
        <v>3147.0833333333335</v>
      </c>
      <c r="J93" s="13">
        <f t="shared" si="5"/>
        <v>3147.0833333333335</v>
      </c>
      <c r="K93" s="86"/>
    </row>
    <row r="94" spans="1:11" x14ac:dyDescent="0.3">
      <c r="A94" s="84" t="s">
        <v>987</v>
      </c>
      <c r="B94" s="85">
        <f>$B$85</f>
        <v>26.407921810699591</v>
      </c>
      <c r="C94" s="86" t="s">
        <v>395</v>
      </c>
      <c r="D94" s="84" t="s">
        <v>430</v>
      </c>
      <c r="E94" s="71" t="s">
        <v>431</v>
      </c>
      <c r="F94" s="86" t="s">
        <v>988</v>
      </c>
      <c r="G94" s="89">
        <f>$B$66</f>
        <v>220</v>
      </c>
      <c r="H94" s="13">
        <f t="shared" si="3"/>
        <v>5809.7427983539101</v>
      </c>
      <c r="I94" s="13">
        <f t="shared" si="4"/>
        <v>0</v>
      </c>
      <c r="J94" s="13">
        <f t="shared" si="5"/>
        <v>5809.7427983539101</v>
      </c>
      <c r="K94" s="86" t="s">
        <v>989</v>
      </c>
    </row>
    <row r="95" spans="1:11" x14ac:dyDescent="0.3">
      <c r="A95" s="84" t="s">
        <v>990</v>
      </c>
      <c r="B95" s="85">
        <f>$B$82*$B$83</f>
        <v>927.41666666666674</v>
      </c>
      <c r="C95" s="86" t="s">
        <v>299</v>
      </c>
      <c r="D95" s="84" t="s">
        <v>430</v>
      </c>
      <c r="E95" s="71" t="s">
        <v>431</v>
      </c>
      <c r="F95" s="86" t="s">
        <v>991</v>
      </c>
      <c r="G95" s="89">
        <f>$B$67</f>
        <v>2.42</v>
      </c>
      <c r="H95" s="13">
        <f t="shared" si="3"/>
        <v>2244.3483333333334</v>
      </c>
      <c r="I95" s="13">
        <f t="shared" si="4"/>
        <v>0</v>
      </c>
      <c r="J95" s="13">
        <f t="shared" si="5"/>
        <v>2244.3483333333334</v>
      </c>
      <c r="K95" s="86" t="s">
        <v>992</v>
      </c>
    </row>
    <row r="96" spans="1:11" x14ac:dyDescent="0.3">
      <c r="A96" s="84" t="s">
        <v>949</v>
      </c>
      <c r="B96" s="85">
        <f>2*$B$7/12</f>
        <v>80</v>
      </c>
      <c r="C96" s="86" t="s">
        <v>299</v>
      </c>
      <c r="D96" s="84" t="s">
        <v>430</v>
      </c>
      <c r="E96" s="71" t="s">
        <v>431</v>
      </c>
      <c r="F96" s="86" t="s">
        <v>993</v>
      </c>
      <c r="G96" s="89">
        <f>$B$68</f>
        <v>2.42</v>
      </c>
      <c r="H96" s="13">
        <f t="shared" si="3"/>
        <v>193.6</v>
      </c>
      <c r="I96" s="13">
        <f t="shared" si="4"/>
        <v>0</v>
      </c>
      <c r="J96" s="13">
        <f t="shared" si="5"/>
        <v>193.6</v>
      </c>
      <c r="K96" s="86"/>
    </row>
    <row r="97" spans="1:11" x14ac:dyDescent="0.3">
      <c r="A97" s="84" t="s">
        <v>994</v>
      </c>
      <c r="B97" s="85">
        <f>$B$84*$B$7/12</f>
        <v>320</v>
      </c>
      <c r="C97" s="86" t="s">
        <v>299</v>
      </c>
      <c r="D97" s="84" t="s">
        <v>430</v>
      </c>
      <c r="E97" s="71" t="s">
        <v>431</v>
      </c>
      <c r="F97" s="86" t="s">
        <v>995</v>
      </c>
      <c r="G97" s="89">
        <f>$B$69</f>
        <v>0.73</v>
      </c>
      <c r="H97" s="13">
        <f t="shared" si="3"/>
        <v>233.6</v>
      </c>
      <c r="I97" s="13">
        <f t="shared" si="4"/>
        <v>0</v>
      </c>
      <c r="J97" s="13">
        <f t="shared" si="5"/>
        <v>233.6</v>
      </c>
      <c r="K97" s="86"/>
    </row>
    <row r="98" spans="1:11" x14ac:dyDescent="0.3">
      <c r="A98" s="84" t="s">
        <v>450</v>
      </c>
      <c r="B98" s="87">
        <f>$B$84*$B$82*$B$77</f>
        <v>496</v>
      </c>
      <c r="C98" s="86" t="s">
        <v>147</v>
      </c>
      <c r="D98" s="84" t="s">
        <v>430</v>
      </c>
      <c r="E98" s="71" t="s">
        <v>431</v>
      </c>
      <c r="F98" s="86" t="s">
        <v>996</v>
      </c>
      <c r="G98" s="89">
        <f>$B$70</f>
        <v>0.08</v>
      </c>
      <c r="H98" s="13">
        <f t="shared" si="3"/>
        <v>39.68</v>
      </c>
      <c r="I98" s="13">
        <f t="shared" si="4"/>
        <v>0</v>
      </c>
      <c r="J98" s="13">
        <f t="shared" si="5"/>
        <v>39.68</v>
      </c>
      <c r="K98" s="86"/>
    </row>
    <row r="99" spans="1:11" x14ac:dyDescent="0.3">
      <c r="A99" s="84" t="s">
        <v>467</v>
      </c>
      <c r="B99" s="85">
        <f>$B$9*(1+$B$65)</f>
        <v>1316.3333333333335</v>
      </c>
      <c r="C99" s="86" t="s">
        <v>302</v>
      </c>
      <c r="D99" s="84" t="s">
        <v>430</v>
      </c>
      <c r="E99" s="71" t="s">
        <v>431</v>
      </c>
      <c r="F99" s="86" t="s">
        <v>997</v>
      </c>
      <c r="G99" s="89">
        <f>$B$71</f>
        <v>0.95</v>
      </c>
      <c r="H99" s="13">
        <f t="shared" si="3"/>
        <v>1250.5166666666667</v>
      </c>
      <c r="I99" s="13">
        <f t="shared" si="4"/>
        <v>0</v>
      </c>
      <c r="J99" s="13">
        <f t="shared" si="5"/>
        <v>1250.5166666666667</v>
      </c>
      <c r="K99" s="86"/>
    </row>
    <row r="100" spans="1:11" x14ac:dyDescent="0.3">
      <c r="A100" s="84" t="s">
        <v>955</v>
      </c>
      <c r="B100" s="87">
        <f>$B$84*$B$82</f>
        <v>248</v>
      </c>
      <c r="C100" s="86" t="s">
        <v>147</v>
      </c>
      <c r="D100" s="84" t="s">
        <v>430</v>
      </c>
      <c r="E100" s="71" t="s">
        <v>431</v>
      </c>
      <c r="F100" s="86" t="s">
        <v>998</v>
      </c>
      <c r="G100" s="89">
        <f>$B$72</f>
        <v>0.6</v>
      </c>
      <c r="H100" s="13">
        <f t="shared" si="3"/>
        <v>148.79999999999998</v>
      </c>
      <c r="I100" s="13">
        <f t="shared" si="4"/>
        <v>0</v>
      </c>
      <c r="J100" s="13">
        <f t="shared" si="5"/>
        <v>148.79999999999998</v>
      </c>
      <c r="K100" s="86"/>
    </row>
    <row r="101" spans="1:11" x14ac:dyDescent="0.3">
      <c r="A101" s="84" t="s">
        <v>942</v>
      </c>
      <c r="B101" s="87">
        <f>$B$63</f>
        <v>8</v>
      </c>
      <c r="C101" s="86" t="s">
        <v>147</v>
      </c>
      <c r="D101" s="84" t="s">
        <v>430</v>
      </c>
      <c r="E101" s="71" t="s">
        <v>431</v>
      </c>
      <c r="F101" s="86" t="s">
        <v>999</v>
      </c>
      <c r="G101" s="89">
        <f>$B$73</f>
        <v>28</v>
      </c>
      <c r="H101" s="13">
        <f t="shared" si="3"/>
        <v>224</v>
      </c>
      <c r="I101" s="13">
        <f t="shared" si="4"/>
        <v>0</v>
      </c>
      <c r="J101" s="13">
        <f t="shared" si="5"/>
        <v>224</v>
      </c>
      <c r="K101" s="86"/>
    </row>
    <row r="102" spans="1:11" x14ac:dyDescent="0.3">
      <c r="A102" s="84" t="s">
        <v>1000</v>
      </c>
      <c r="B102" s="85">
        <f>$B$9*1.1</f>
        <v>1316.3333333333335</v>
      </c>
      <c r="C102" s="86" t="s">
        <v>302</v>
      </c>
      <c r="D102" s="84" t="s">
        <v>430</v>
      </c>
      <c r="E102" s="71" t="s">
        <v>431</v>
      </c>
      <c r="F102" s="86" t="s">
        <v>1001</v>
      </c>
      <c r="G102" s="89">
        <f>$B$74</f>
        <v>0.12</v>
      </c>
      <c r="H102" s="13">
        <f t="shared" si="3"/>
        <v>157.96</v>
      </c>
      <c r="I102" s="13">
        <f t="shared" si="4"/>
        <v>0</v>
      </c>
      <c r="J102" s="13">
        <f t="shared" si="5"/>
        <v>157.96</v>
      </c>
      <c r="K102" s="86"/>
    </row>
    <row r="103" spans="1:11" x14ac:dyDescent="0.3">
      <c r="A103" s="84" t="s">
        <v>1002</v>
      </c>
      <c r="B103" s="85">
        <f>$B$10</f>
        <v>139.83333333333334</v>
      </c>
      <c r="C103" s="86" t="s">
        <v>299</v>
      </c>
      <c r="D103" s="84" t="s">
        <v>430</v>
      </c>
      <c r="E103" s="71" t="s">
        <v>431</v>
      </c>
      <c r="F103" s="86" t="s">
        <v>1003</v>
      </c>
      <c r="G103" s="89">
        <f>$B$75</f>
        <v>1.8</v>
      </c>
      <c r="H103" s="13">
        <f t="shared" si="3"/>
        <v>251.70000000000002</v>
      </c>
      <c r="I103" s="13">
        <f t="shared" si="4"/>
        <v>0</v>
      </c>
      <c r="J103" s="13">
        <f t="shared" si="5"/>
        <v>251.70000000000002</v>
      </c>
      <c r="K103" s="86"/>
    </row>
    <row r="104" spans="1:11" x14ac:dyDescent="0.3">
      <c r="A104" s="84" t="s">
        <v>1004</v>
      </c>
      <c r="B104" s="87">
        <v>1</v>
      </c>
      <c r="C104" s="86" t="s">
        <v>739</v>
      </c>
      <c r="D104" s="84" t="s">
        <v>430</v>
      </c>
      <c r="E104" s="71" t="s">
        <v>444</v>
      </c>
      <c r="F104" s="86" t="s">
        <v>1005</v>
      </c>
      <c r="G104" s="89">
        <f>$B$76</f>
        <v>1500</v>
      </c>
      <c r="H104" s="13">
        <f t="shared" si="3"/>
        <v>1500</v>
      </c>
      <c r="I104" s="13">
        <f t="shared" si="4"/>
        <v>0</v>
      </c>
      <c r="J104" s="13">
        <f t="shared" si="5"/>
        <v>1500</v>
      </c>
      <c r="K104" s="86" t="s">
        <v>1006</v>
      </c>
    </row>
    <row r="105" spans="1:11" x14ac:dyDescent="0.3">
      <c r="A105" s="84" t="s">
        <v>962</v>
      </c>
      <c r="B105" s="85">
        <f>$B$9*$B$78</f>
        <v>143.6</v>
      </c>
      <c r="C105" s="86" t="s">
        <v>261</v>
      </c>
      <c r="D105" s="84" t="s">
        <v>24</v>
      </c>
      <c r="E105" s="71" t="s">
        <v>431</v>
      </c>
      <c r="F105" s="86" t="s">
        <v>1007</v>
      </c>
      <c r="G105" s="89">
        <f>$B$11</f>
        <v>35</v>
      </c>
      <c r="H105" s="13">
        <f t="shared" si="3"/>
        <v>0</v>
      </c>
      <c r="I105" s="13">
        <f t="shared" si="4"/>
        <v>5026</v>
      </c>
      <c r="J105" s="13">
        <f t="shared" si="5"/>
        <v>5026</v>
      </c>
      <c r="K105" s="86" t="s">
        <v>915</v>
      </c>
    </row>
    <row r="106" spans="1:11" x14ac:dyDescent="0.3">
      <c r="A106" s="84" t="s">
        <v>964</v>
      </c>
      <c r="B106" s="85">
        <f>$B$9*$B$79</f>
        <v>35.9</v>
      </c>
      <c r="C106" s="86" t="s">
        <v>261</v>
      </c>
      <c r="D106" s="84" t="s">
        <v>24</v>
      </c>
      <c r="E106" s="71" t="s">
        <v>431</v>
      </c>
      <c r="F106" s="86" t="s">
        <v>1008</v>
      </c>
      <c r="G106" s="89">
        <f>$B$11</f>
        <v>35</v>
      </c>
      <c r="H106" s="13">
        <f t="shared" si="3"/>
        <v>0</v>
      </c>
      <c r="I106" s="13">
        <f t="shared" si="4"/>
        <v>1256.5</v>
      </c>
      <c r="J106" s="13">
        <f t="shared" si="5"/>
        <v>1256.5</v>
      </c>
      <c r="K106" s="86" t="s">
        <v>915</v>
      </c>
    </row>
    <row r="107" spans="1:11" x14ac:dyDescent="0.3">
      <c r="A107" s="84" t="s">
        <v>966</v>
      </c>
      <c r="B107" s="85">
        <f>$B$85*$B$80</f>
        <v>39.611882716049386</v>
      </c>
      <c r="C107" s="86" t="s">
        <v>261</v>
      </c>
      <c r="D107" s="84" t="s">
        <v>24</v>
      </c>
      <c r="E107" s="71" t="s">
        <v>431</v>
      </c>
      <c r="F107" s="86" t="s">
        <v>1009</v>
      </c>
      <c r="G107" s="89">
        <f>$B$11</f>
        <v>35</v>
      </c>
      <c r="H107" s="13">
        <f t="shared" si="3"/>
        <v>0</v>
      </c>
      <c r="I107" s="13">
        <f t="shared" si="4"/>
        <v>1386.4158950617286</v>
      </c>
      <c r="J107" s="13">
        <f t="shared" si="5"/>
        <v>1386.4158950617286</v>
      </c>
      <c r="K107" s="86" t="s">
        <v>915</v>
      </c>
    </row>
    <row r="108" spans="1:11" x14ac:dyDescent="0.3">
      <c r="A108" s="84" t="s">
        <v>1010</v>
      </c>
      <c r="B108" s="85">
        <f>$B$81</f>
        <v>32</v>
      </c>
      <c r="C108" s="86" t="s">
        <v>261</v>
      </c>
      <c r="D108" s="84" t="s">
        <v>24</v>
      </c>
      <c r="E108" s="71" t="s">
        <v>444</v>
      </c>
      <c r="F108" s="86" t="s">
        <v>1011</v>
      </c>
      <c r="G108" s="89">
        <f>$B$11</f>
        <v>35</v>
      </c>
      <c r="H108" s="13">
        <f t="shared" si="3"/>
        <v>0</v>
      </c>
      <c r="I108" s="13">
        <f t="shared" si="4"/>
        <v>1120</v>
      </c>
      <c r="J108" s="13">
        <f t="shared" si="5"/>
        <v>1120</v>
      </c>
      <c r="K108" s="86" t="s">
        <v>915</v>
      </c>
    </row>
    <row r="109" spans="1:11" x14ac:dyDescent="0.3">
      <c r="A109" s="16" t="s">
        <v>1012</v>
      </c>
      <c r="B109" s="20"/>
      <c r="C109" s="20"/>
      <c r="D109" s="20"/>
      <c r="E109" s="20"/>
      <c r="F109" s="20"/>
      <c r="G109" s="20"/>
      <c r="H109" s="88">
        <f>SUM(H89:H108)</f>
        <v>15610.015054869686</v>
      </c>
      <c r="I109" s="88">
        <f>SUM(I89:I108)</f>
        <v>11935.999228395063</v>
      </c>
      <c r="J109" s="88">
        <f>SUM(J89:J108)</f>
        <v>27546.014283264747</v>
      </c>
      <c r="K109" s="20"/>
    </row>
    <row r="111" spans="1:11" x14ac:dyDescent="0.3">
      <c r="A111" s="6" t="s">
        <v>1013</v>
      </c>
    </row>
    <row r="112" spans="1:11" x14ac:dyDescent="0.3">
      <c r="A112" s="16" t="s">
        <v>542</v>
      </c>
      <c r="B112" s="20"/>
      <c r="C112" s="20"/>
      <c r="D112" s="20"/>
      <c r="E112" s="20"/>
      <c r="F112" s="20"/>
      <c r="G112" s="20"/>
      <c r="H112" s="88">
        <f>SUMIFS(H89:H108,$D$89:$D$108,"Material",$E$89:$E$108,"Plant")</f>
        <v>10553.947798353909</v>
      </c>
      <c r="I112" s="88">
        <f>SUMIFS(I89:I108,$D$89:$D$108,"Labor",$E$89:$E$108,"Plant")</f>
        <v>7668.9158950617284</v>
      </c>
      <c r="J112" s="88">
        <f>H112+I112</f>
        <v>18222.863693415638</v>
      </c>
      <c r="K112" s="93" t="s">
        <v>543</v>
      </c>
    </row>
    <row r="113" spans="1:11" x14ac:dyDescent="0.3">
      <c r="A113" s="6" t="s">
        <v>544</v>
      </c>
      <c r="B113" s="94">
        <f>SUMIFS(B89:B108,$D$89:$D$108,"Labor",$E$89:$E$108,"Plant")</f>
        <v>219.11188271604939</v>
      </c>
      <c r="C113" s="2" t="s">
        <v>261</v>
      </c>
      <c r="K113" s="2" t="s">
        <v>545</v>
      </c>
    </row>
    <row r="114" spans="1:11" x14ac:dyDescent="0.3">
      <c r="A114" s="16" t="s">
        <v>546</v>
      </c>
      <c r="B114" s="20"/>
      <c r="C114" s="20"/>
      <c r="D114" s="20"/>
      <c r="E114" s="20"/>
      <c r="F114" s="20"/>
      <c r="G114" s="20"/>
      <c r="H114" s="88">
        <f>SUMIFS(H89:H108,$D$89:$D$108,"Material",$E$89:$E$108,"Site")</f>
        <v>5056.0672565157756</v>
      </c>
      <c r="I114" s="88">
        <f>SUMIFS(I89:I108,$D$89:$D$108,"Labor",$E$89:$E$108,"Site")</f>
        <v>4267.0833333333339</v>
      </c>
      <c r="J114" s="88">
        <f>H114+I114</f>
        <v>9323.1505898491087</v>
      </c>
      <c r="K114" s="93" t="s">
        <v>547</v>
      </c>
    </row>
    <row r="115" spans="1:11" x14ac:dyDescent="0.3">
      <c r="A115" s="2" t="s">
        <v>548</v>
      </c>
      <c r="J115" s="95">
        <f>$J$112+$J$114-$J$109</f>
        <v>0</v>
      </c>
    </row>
    <row r="117" spans="1:11" x14ac:dyDescent="0.3">
      <c r="A117" s="4" t="s">
        <v>1014</v>
      </c>
      <c r="B117" s="5"/>
      <c r="C117" s="5"/>
      <c r="D117" s="5"/>
      <c r="E117" s="5"/>
      <c r="F117" s="5"/>
      <c r="G117" s="5"/>
      <c r="H117" s="5"/>
      <c r="I117" s="5"/>
      <c r="J117" s="5"/>
      <c r="K117" s="5"/>
    </row>
    <row r="118" spans="1:11" x14ac:dyDescent="0.3">
      <c r="A118" s="21" t="s">
        <v>783</v>
      </c>
      <c r="B118" s="32">
        <f>Manufacturing!$B$14</f>
        <v>25</v>
      </c>
      <c r="C118" s="2" t="s">
        <v>784</v>
      </c>
      <c r="D118" s="2" t="s">
        <v>1015</v>
      </c>
    </row>
    <row r="119" spans="1:11" x14ac:dyDescent="0.3">
      <c r="A119" s="21" t="s">
        <v>1016</v>
      </c>
      <c r="B119" s="77">
        <f>Manufacturing!$B$15</f>
        <v>0.2</v>
      </c>
      <c r="C119" s="2" t="s">
        <v>240</v>
      </c>
      <c r="D119" s="2" t="s">
        <v>1017</v>
      </c>
    </row>
    <row r="120" spans="1:11" x14ac:dyDescent="0.3">
      <c r="A120" s="21" t="s">
        <v>1018</v>
      </c>
      <c r="B120" s="101">
        <f>$H$112</f>
        <v>10553.947798353909</v>
      </c>
      <c r="C120" s="2" t="s">
        <v>1019</v>
      </c>
      <c r="D120" s="2" t="s">
        <v>1020</v>
      </c>
    </row>
    <row r="121" spans="1:11" x14ac:dyDescent="0.3">
      <c r="A121" s="21" t="s">
        <v>1021</v>
      </c>
      <c r="B121" s="101">
        <f>$I$112</f>
        <v>7668.9158950617284</v>
      </c>
      <c r="C121" s="2" t="s">
        <v>1019</v>
      </c>
      <c r="D121" s="2" t="s">
        <v>1022</v>
      </c>
    </row>
    <row r="122" spans="1:11" x14ac:dyDescent="0.3">
      <c r="A122" s="21" t="s">
        <v>810</v>
      </c>
      <c r="B122" s="81">
        <f>$B$113</f>
        <v>219.11188271604939</v>
      </c>
      <c r="C122" s="2" t="s">
        <v>261</v>
      </c>
      <c r="D122" s="2" t="s">
        <v>1023</v>
      </c>
    </row>
    <row r="123" spans="1:11" x14ac:dyDescent="0.3">
      <c r="A123" s="21" t="s">
        <v>812</v>
      </c>
      <c r="B123" s="101">
        <f>$B$122*$B$118</f>
        <v>5477.7970679012351</v>
      </c>
      <c r="C123" s="2" t="s">
        <v>1019</v>
      </c>
      <c r="D123" s="2" t="s">
        <v>1024</v>
      </c>
    </row>
    <row r="124" spans="1:11" x14ac:dyDescent="0.3">
      <c r="A124" s="21" t="s">
        <v>814</v>
      </c>
      <c r="B124" s="101">
        <f>$B$120+$B$121+$B$123</f>
        <v>23700.660761316874</v>
      </c>
      <c r="C124" s="2" t="s">
        <v>1019</v>
      </c>
      <c r="D124" s="2" t="s">
        <v>815</v>
      </c>
    </row>
    <row r="125" spans="1:11" x14ac:dyDescent="0.3">
      <c r="A125" s="21" t="s">
        <v>818</v>
      </c>
      <c r="B125" s="101">
        <f>$B$124*$B$119</f>
        <v>4740.1321522633752</v>
      </c>
      <c r="C125" s="2" t="s">
        <v>1019</v>
      </c>
      <c r="D125" s="2" t="s">
        <v>819</v>
      </c>
    </row>
    <row r="126" spans="1:11" x14ac:dyDescent="0.3">
      <c r="A126" s="21" t="s">
        <v>1025</v>
      </c>
      <c r="B126" s="101">
        <f>$B$124+$B$125</f>
        <v>28440.792913580248</v>
      </c>
      <c r="C126" s="2" t="s">
        <v>1019</v>
      </c>
      <c r="D126" s="2" t="s">
        <v>1026</v>
      </c>
    </row>
    <row r="127" spans="1:11" x14ac:dyDescent="0.3">
      <c r="A127" s="21" t="s">
        <v>1027</v>
      </c>
      <c r="B127" s="89">
        <f>$B$126/$B$9</f>
        <v>23.766679314969565</v>
      </c>
      <c r="C127" s="2" t="s">
        <v>881</v>
      </c>
      <c r="D127" s="2"/>
    </row>
    <row r="129" spans="1:11" x14ac:dyDescent="0.3">
      <c r="A129" s="4" t="s">
        <v>1028</v>
      </c>
      <c r="B129" s="5"/>
      <c r="C129" s="5"/>
      <c r="D129" s="5"/>
      <c r="E129" s="5"/>
      <c r="F129" s="5"/>
      <c r="G129" s="5"/>
      <c r="H129" s="5"/>
      <c r="I129" s="5"/>
      <c r="J129" s="5"/>
      <c r="K129" s="5"/>
    </row>
    <row r="130" spans="1:11" x14ac:dyDescent="0.3">
      <c r="A130" s="16"/>
      <c r="B130" s="16"/>
      <c r="C130" s="16"/>
      <c r="D130" s="16"/>
      <c r="E130" s="16"/>
      <c r="F130" s="16"/>
      <c r="G130" s="16" t="s">
        <v>26</v>
      </c>
      <c r="H130" s="16" t="s">
        <v>23</v>
      </c>
      <c r="I130" s="16" t="s">
        <v>24</v>
      </c>
      <c r="J130" s="16" t="s">
        <v>25</v>
      </c>
      <c r="K130" s="16" t="s">
        <v>564</v>
      </c>
    </row>
    <row r="131" spans="1:11" x14ac:dyDescent="0.3">
      <c r="A131" s="6" t="s">
        <v>885</v>
      </c>
      <c r="G131" s="31">
        <f>J131/$B$9</f>
        <v>8.2143831115237802</v>
      </c>
      <c r="H131" s="111">
        <f>$H$43</f>
        <v>5255.67012345679</v>
      </c>
      <c r="I131" s="111">
        <f>$I$43</f>
        <v>4574.2083333333339</v>
      </c>
      <c r="J131" s="111">
        <f>H131+I131</f>
        <v>9829.8784567901239</v>
      </c>
      <c r="K131" s="2" t="s">
        <v>1029</v>
      </c>
    </row>
    <row r="132" spans="1:11" x14ac:dyDescent="0.3">
      <c r="A132" s="6" t="s">
        <v>1030</v>
      </c>
      <c r="G132" s="31">
        <f>J132/$B$9</f>
        <v>23.018953440054105</v>
      </c>
      <c r="H132" s="111">
        <f>$H$109</f>
        <v>15610.015054869686</v>
      </c>
      <c r="I132" s="111">
        <f>$I$109</f>
        <v>11935.999228395063</v>
      </c>
      <c r="J132" s="111">
        <f>H132+I132</f>
        <v>27546.014283264747</v>
      </c>
      <c r="K132" s="2" t="s">
        <v>1031</v>
      </c>
    </row>
    <row r="133" spans="1:11" x14ac:dyDescent="0.3">
      <c r="A133" s="6" t="s">
        <v>1032</v>
      </c>
      <c r="G133" s="31">
        <f>J133/$B$9</f>
        <v>31.557612955511996</v>
      </c>
      <c r="H133" s="111">
        <f>$H$114+$B$126</f>
        <v>33496.860170096021</v>
      </c>
      <c r="I133" s="111">
        <f>$I$114</f>
        <v>4267.0833333333339</v>
      </c>
      <c r="J133" s="111">
        <f>H133+I133</f>
        <v>37763.943503429356</v>
      </c>
      <c r="K133" s="2" t="s">
        <v>1033</v>
      </c>
    </row>
    <row r="134" spans="1:11" x14ac:dyDescent="0.3">
      <c r="A134" s="21" t="s">
        <v>1034</v>
      </c>
      <c r="G134" s="89">
        <f>J134/$B$9</f>
        <v>8.5386595154578888</v>
      </c>
      <c r="H134" s="112">
        <f>$H$133-$H$132</f>
        <v>17886.845115226337</v>
      </c>
      <c r="I134" s="112">
        <f>$I$133-$I$132</f>
        <v>-7668.9158950617293</v>
      </c>
      <c r="J134" s="112">
        <f>H134+I134</f>
        <v>10217.929220164608</v>
      </c>
      <c r="K134" s="2" t="s">
        <v>1035</v>
      </c>
    </row>
    <row r="135" spans="1:11" x14ac:dyDescent="0.3">
      <c r="A135" s="2" t="s">
        <v>1036</v>
      </c>
      <c r="J135" s="95">
        <f>J134-($B$123+$B$125)</f>
        <v>0</v>
      </c>
    </row>
    <row r="136" spans="1:11" x14ac:dyDescent="0.3">
      <c r="A136" s="21" t="s">
        <v>1037</v>
      </c>
      <c r="G136" s="89">
        <f>J136/$B$9</f>
        <v>14.804570328530325</v>
      </c>
      <c r="H136" s="112">
        <f>$H$132-$H$131</f>
        <v>10354.344931412896</v>
      </c>
      <c r="I136" s="112">
        <f>$I$132-$I$131</f>
        <v>7361.7908950617293</v>
      </c>
      <c r="J136" s="112">
        <f>H136+I136</f>
        <v>17716.135826474623</v>
      </c>
      <c r="K136" s="2"/>
    </row>
    <row r="137" spans="1:11" x14ac:dyDescent="0.3">
      <c r="A137" s="105" t="s">
        <v>1038</v>
      </c>
      <c r="B137" s="91"/>
      <c r="C137" s="91"/>
      <c r="D137" s="91"/>
      <c r="E137" s="91"/>
      <c r="F137" s="91"/>
      <c r="G137" s="113">
        <f>J137/$B$9</f>
        <v>8.2143831115237802</v>
      </c>
      <c r="H137" s="114">
        <f>IF($B$6="A",$H$131,IF($B$6="B",$H$132,$H$133))</f>
        <v>5255.67012345679</v>
      </c>
      <c r="I137" s="114">
        <f>IF($B$6="A",$I$131,IF($B$6="B",$I$132,$I$133))</f>
        <v>4574.2083333333339</v>
      </c>
      <c r="J137" s="114">
        <f>H137+I137</f>
        <v>9829.8784567901239</v>
      </c>
      <c r="K137" s="29" t="s">
        <v>1039</v>
      </c>
    </row>
    <row r="138" spans="1:11" x14ac:dyDescent="0.3">
      <c r="A138" s="21" t="s">
        <v>1040</v>
      </c>
      <c r="B138" s="115">
        <f>$B$86</f>
        <v>27473.472222222223</v>
      </c>
    </row>
    <row r="140" spans="1:11" ht="30" customHeight="1" x14ac:dyDescent="0.3">
      <c r="A140" s="125" t="s">
        <v>1041</v>
      </c>
      <c r="B140" s="126"/>
      <c r="C140" s="126"/>
      <c r="D140" s="126"/>
      <c r="E140" s="126"/>
      <c r="F140" s="126"/>
      <c r="G140" s="126"/>
      <c r="H140" s="126"/>
      <c r="I140" s="126"/>
      <c r="J140" s="126"/>
      <c r="K140" s="126"/>
    </row>
    <row r="141" spans="1:11" ht="30" customHeight="1" x14ac:dyDescent="0.3">
      <c r="A141" s="125" t="s">
        <v>1042</v>
      </c>
      <c r="B141" s="126"/>
      <c r="C141" s="126"/>
      <c r="D141" s="126"/>
      <c r="E141" s="126"/>
      <c r="F141" s="126"/>
      <c r="G141" s="126"/>
      <c r="H141" s="126"/>
      <c r="I141" s="126"/>
      <c r="J141" s="126"/>
      <c r="K141" s="126"/>
    </row>
    <row r="142" spans="1:11" ht="30" customHeight="1" x14ac:dyDescent="0.3">
      <c r="A142" s="125" t="s">
        <v>1043</v>
      </c>
      <c r="B142" s="126"/>
      <c r="C142" s="126"/>
      <c r="D142" s="126"/>
      <c r="E142" s="126"/>
      <c r="F142" s="126"/>
      <c r="G142" s="126"/>
      <c r="H142" s="126"/>
      <c r="I142" s="126"/>
      <c r="J142" s="126"/>
      <c r="K142" s="126"/>
    </row>
    <row r="143" spans="1:11" ht="30" customHeight="1" x14ac:dyDescent="0.3">
      <c r="A143" s="125" t="s">
        <v>1044</v>
      </c>
      <c r="B143" s="126"/>
      <c r="C143" s="126"/>
      <c r="D143" s="126"/>
      <c r="E143" s="126"/>
      <c r="F143" s="126"/>
      <c r="G143" s="126"/>
      <c r="H143" s="126"/>
      <c r="I143" s="126"/>
      <c r="J143" s="126"/>
      <c r="K143" s="126"/>
    </row>
  </sheetData>
  <mergeCells count="5">
    <mergeCell ref="A143:K143"/>
    <mergeCell ref="A140:K140"/>
    <mergeCell ref="A142:K142"/>
    <mergeCell ref="A2:J2"/>
    <mergeCell ref="A141:K141"/>
  </mergeCells>
  <dataValidations count="1">
    <dataValidation type="list" allowBlank="1" sqref="E89:E108" xr:uid="{00000000-0002-0000-0400-000000000000}">
      <formula1>"Plant,Site"</formula1>
    </dataValidation>
  </dataValidations>
  <hyperlinks>
    <hyperlink ref="A3" location="'Summary'!A1" display="← Summary" xr:uid="{00000000-0004-0000-0400-000000000000}"/>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7"/>
  <sheetViews>
    <sheetView showGridLines="0" workbookViewId="0">
      <pane ySplit="4" topLeftCell="A5" activePane="bottomLeft" state="frozen"/>
      <selection pane="bottomLeft"/>
    </sheetView>
  </sheetViews>
  <sheetFormatPr defaultRowHeight="14.4" x14ac:dyDescent="0.3"/>
  <cols>
    <col min="1" max="1" width="52" customWidth="1"/>
    <col min="2" max="2" width="11" customWidth="1"/>
    <col min="3" max="5" width="13" customWidth="1"/>
    <col min="6" max="6" width="15" customWidth="1"/>
    <col min="7" max="8" width="13" customWidth="1"/>
    <col min="9" max="9" width="74" customWidth="1"/>
  </cols>
  <sheetData>
    <row r="1" spans="1:10" ht="17.399999999999999" x14ac:dyDescent="0.3">
      <c r="A1" s="60" t="s">
        <v>1045</v>
      </c>
    </row>
    <row r="2" spans="1:10" ht="43.95" customHeight="1" x14ac:dyDescent="0.3">
      <c r="A2" s="125" t="s">
        <v>1046</v>
      </c>
      <c r="B2" s="126"/>
      <c r="C2" s="126"/>
      <c r="D2" s="126"/>
      <c r="E2" s="126"/>
      <c r="F2" s="126"/>
      <c r="G2" s="126"/>
      <c r="H2" s="126"/>
      <c r="I2" s="126"/>
      <c r="J2" s="126"/>
    </row>
    <row r="3" spans="1:10" x14ac:dyDescent="0.3">
      <c r="A3" s="3" t="s">
        <v>127</v>
      </c>
    </row>
    <row r="5" spans="1:10" x14ac:dyDescent="0.3">
      <c r="A5" s="4" t="s">
        <v>1047</v>
      </c>
      <c r="B5" s="5"/>
      <c r="C5" s="5"/>
      <c r="D5" s="5"/>
      <c r="E5" s="5"/>
      <c r="F5" s="5"/>
      <c r="G5" s="5"/>
      <c r="H5" s="5"/>
      <c r="I5" s="5"/>
    </row>
    <row r="6" spans="1:10" x14ac:dyDescent="0.3">
      <c r="A6" s="21" t="s">
        <v>257</v>
      </c>
      <c r="B6" s="32">
        <f>Walls!$B$91</f>
        <v>35</v>
      </c>
      <c r="C6" s="2" t="s">
        <v>258</v>
      </c>
      <c r="D6" s="2" t="s">
        <v>1048</v>
      </c>
    </row>
    <row r="7" spans="1:10" x14ac:dyDescent="0.3">
      <c r="A7" s="21" t="s">
        <v>1049</v>
      </c>
      <c r="B7" s="72" t="str">
        <f>Summary!$B$6</f>
        <v>shed</v>
      </c>
      <c r="C7" s="2"/>
      <c r="D7" s="2" t="s">
        <v>1050</v>
      </c>
    </row>
    <row r="8" spans="1:10" x14ac:dyDescent="0.3">
      <c r="A8" s="21" t="s">
        <v>1051</v>
      </c>
      <c r="B8" s="73">
        <f>Roof!$B$10</f>
        <v>1</v>
      </c>
      <c r="C8" s="2" t="s">
        <v>568</v>
      </c>
      <c r="D8" s="2" t="s">
        <v>1052</v>
      </c>
    </row>
    <row r="9" spans="1:10" x14ac:dyDescent="0.3">
      <c r="A9" s="21" t="s">
        <v>1053</v>
      </c>
      <c r="B9" s="103">
        <f>Summary!$B$9</f>
        <v>1066.333333333333</v>
      </c>
      <c r="C9" s="2" t="s">
        <v>302</v>
      </c>
      <c r="D9" s="2" t="s">
        <v>1054</v>
      </c>
    </row>
    <row r="10" spans="1:10" x14ac:dyDescent="0.3">
      <c r="A10" s="21" t="s">
        <v>1055</v>
      </c>
      <c r="B10" s="103">
        <f>Walls!$B$120</f>
        <v>1180.3333333333335</v>
      </c>
      <c r="C10" s="2" t="s">
        <v>302</v>
      </c>
      <c r="D10" s="2" t="s">
        <v>1056</v>
      </c>
    </row>
    <row r="11" spans="1:10" x14ac:dyDescent="0.3">
      <c r="A11" s="21" t="s">
        <v>1057</v>
      </c>
      <c r="B11" s="73">
        <f>Walls!$B$275</f>
        <v>34</v>
      </c>
      <c r="C11" s="2" t="s">
        <v>147</v>
      </c>
      <c r="D11" s="2" t="s">
        <v>1058</v>
      </c>
    </row>
    <row r="12" spans="1:10" x14ac:dyDescent="0.3">
      <c r="A12" s="21" t="s">
        <v>797</v>
      </c>
      <c r="B12" s="72" t="str">
        <f>Summary!$B$7</f>
        <v>A</v>
      </c>
      <c r="C12" s="2"/>
      <c r="D12" s="2" t="s">
        <v>1059</v>
      </c>
    </row>
    <row r="14" spans="1:10" x14ac:dyDescent="0.3">
      <c r="A14" s="4" t="s">
        <v>1060</v>
      </c>
      <c r="B14" s="5"/>
      <c r="C14" s="5"/>
      <c r="D14" s="5"/>
      <c r="E14" s="5"/>
      <c r="F14" s="5"/>
      <c r="G14" s="5"/>
      <c r="H14" s="5"/>
      <c r="I14" s="5"/>
    </row>
    <row r="15" spans="1:10" x14ac:dyDescent="0.3">
      <c r="A15" s="21" t="s">
        <v>1061</v>
      </c>
      <c r="B15" s="103">
        <f>Walls!$B$115</f>
        <v>139.83333333333334</v>
      </c>
      <c r="C15" s="2" t="s">
        <v>299</v>
      </c>
      <c r="D15" s="2" t="s">
        <v>1062</v>
      </c>
    </row>
    <row r="16" spans="1:10" x14ac:dyDescent="0.3">
      <c r="A16" s="21" t="s">
        <v>103</v>
      </c>
      <c r="B16" s="103">
        <f>Roof!$B$77</f>
        <v>1387.2920420983621</v>
      </c>
      <c r="C16" s="2" t="s">
        <v>302</v>
      </c>
      <c r="D16" s="2" t="s">
        <v>1063</v>
      </c>
    </row>
    <row r="17" spans="1:4" x14ac:dyDescent="0.3">
      <c r="A17" s="21" t="s">
        <v>789</v>
      </c>
      <c r="B17" s="73">
        <f>Walls!$B$103</f>
        <v>34</v>
      </c>
      <c r="C17" s="2" t="s">
        <v>147</v>
      </c>
      <c r="D17" s="2" t="s">
        <v>594</v>
      </c>
    </row>
    <row r="18" spans="1:4" x14ac:dyDescent="0.3">
      <c r="A18" s="21" t="s">
        <v>1064</v>
      </c>
      <c r="B18" s="97">
        <v>2</v>
      </c>
      <c r="C18" s="2" t="s">
        <v>147</v>
      </c>
      <c r="D18" s="2" t="s">
        <v>1065</v>
      </c>
    </row>
    <row r="19" spans="1:4" x14ac:dyDescent="0.3">
      <c r="A19" s="21" t="s">
        <v>49</v>
      </c>
      <c r="B19" s="97">
        <v>2</v>
      </c>
      <c r="C19" s="2" t="s">
        <v>147</v>
      </c>
      <c r="D19" s="2" t="s">
        <v>1065</v>
      </c>
    </row>
    <row r="20" spans="1:4" x14ac:dyDescent="0.3">
      <c r="A20" s="21" t="s">
        <v>1066</v>
      </c>
      <c r="B20" s="97">
        <v>1</v>
      </c>
      <c r="C20" s="2" t="s">
        <v>147</v>
      </c>
      <c r="D20" s="2" t="s">
        <v>1067</v>
      </c>
    </row>
    <row r="21" spans="1:4" x14ac:dyDescent="0.3">
      <c r="A21" s="21" t="s">
        <v>1068</v>
      </c>
      <c r="B21" s="97">
        <v>7</v>
      </c>
      <c r="C21" s="2" t="s">
        <v>147</v>
      </c>
      <c r="D21" s="2" t="s">
        <v>1069</v>
      </c>
    </row>
    <row r="22" spans="1:4" x14ac:dyDescent="0.3">
      <c r="A22" s="21" t="s">
        <v>1070</v>
      </c>
      <c r="B22" s="97">
        <v>4</v>
      </c>
      <c r="C22" s="2" t="s">
        <v>147</v>
      </c>
      <c r="D22" s="2" t="s">
        <v>1071</v>
      </c>
    </row>
    <row r="23" spans="1:4" x14ac:dyDescent="0.3">
      <c r="A23" s="21" t="s">
        <v>1072</v>
      </c>
      <c r="B23" s="97">
        <v>1</v>
      </c>
      <c r="C23" s="2" t="s">
        <v>147</v>
      </c>
      <c r="D23" s="2" t="s">
        <v>1067</v>
      </c>
    </row>
    <row r="24" spans="1:4" x14ac:dyDescent="0.3">
      <c r="A24" s="21" t="s">
        <v>1073</v>
      </c>
      <c r="B24" s="97">
        <v>5</v>
      </c>
      <c r="C24" s="2" t="s">
        <v>147</v>
      </c>
      <c r="D24" s="2" t="s">
        <v>1074</v>
      </c>
    </row>
    <row r="25" spans="1:4" x14ac:dyDescent="0.3">
      <c r="A25" s="21" t="s">
        <v>1075</v>
      </c>
      <c r="B25" s="97">
        <v>13</v>
      </c>
      <c r="C25" s="2" t="s">
        <v>147</v>
      </c>
      <c r="D25" s="2" t="s">
        <v>1076</v>
      </c>
    </row>
    <row r="26" spans="1:4" x14ac:dyDescent="0.3">
      <c r="A26" s="21" t="s">
        <v>1077</v>
      </c>
      <c r="B26" s="97">
        <v>60</v>
      </c>
      <c r="C26" s="2" t="s">
        <v>299</v>
      </c>
      <c r="D26" s="2" t="s">
        <v>1078</v>
      </c>
    </row>
    <row r="27" spans="1:4" x14ac:dyDescent="0.3">
      <c r="A27" s="21" t="s">
        <v>1079</v>
      </c>
      <c r="B27" s="97">
        <v>4</v>
      </c>
      <c r="C27" s="2" t="s">
        <v>147</v>
      </c>
      <c r="D27" s="2" t="s">
        <v>1071</v>
      </c>
    </row>
    <row r="29" spans="1:4" x14ac:dyDescent="0.3">
      <c r="A29" s="21" t="s">
        <v>1080</v>
      </c>
      <c r="B29" s="71">
        <v>1066</v>
      </c>
      <c r="C29" s="2"/>
      <c r="D29" s="2" t="s">
        <v>1081</v>
      </c>
    </row>
    <row r="30" spans="1:4" x14ac:dyDescent="0.3">
      <c r="A30" s="21" t="s">
        <v>1082</v>
      </c>
      <c r="B30" s="71">
        <v>1148</v>
      </c>
      <c r="C30" s="2"/>
      <c r="D30" s="2" t="s">
        <v>1081</v>
      </c>
    </row>
    <row r="31" spans="1:4" x14ac:dyDescent="0.3">
      <c r="A31" s="21" t="s">
        <v>1083</v>
      </c>
      <c r="B31" s="71">
        <v>139.83000000000001</v>
      </c>
      <c r="C31" s="2"/>
      <c r="D31" s="2" t="s">
        <v>1081</v>
      </c>
    </row>
    <row r="32" spans="1:4" x14ac:dyDescent="0.3">
      <c r="A32" s="21" t="s">
        <v>1084</v>
      </c>
      <c r="B32" s="71">
        <v>1387.29</v>
      </c>
      <c r="C32" s="2"/>
      <c r="D32" s="2" t="s">
        <v>1081</v>
      </c>
    </row>
    <row r="33" spans="1:9" x14ac:dyDescent="0.3">
      <c r="A33" s="21" t="s">
        <v>1085</v>
      </c>
      <c r="B33" s="71">
        <v>34</v>
      </c>
      <c r="C33" s="2"/>
      <c r="D33" s="2" t="s">
        <v>1081</v>
      </c>
    </row>
    <row r="34" spans="1:9" x14ac:dyDescent="0.3">
      <c r="A34" s="21" t="s">
        <v>1086</v>
      </c>
      <c r="B34" s="71">
        <v>2</v>
      </c>
      <c r="C34" s="2"/>
      <c r="D34" s="2" t="s">
        <v>1081</v>
      </c>
    </row>
    <row r="35" spans="1:9" x14ac:dyDescent="0.3">
      <c r="A35" s="21" t="s">
        <v>1087</v>
      </c>
      <c r="B35" s="71">
        <v>2</v>
      </c>
      <c r="C35" s="2"/>
      <c r="D35" s="2" t="s">
        <v>1081</v>
      </c>
    </row>
    <row r="36" spans="1:9" x14ac:dyDescent="0.3">
      <c r="A36" s="21" t="s">
        <v>1088</v>
      </c>
      <c r="B36" s="71">
        <v>1</v>
      </c>
      <c r="C36" s="2"/>
      <c r="D36" s="2" t="s">
        <v>1081</v>
      </c>
    </row>
    <row r="37" spans="1:9" x14ac:dyDescent="0.3">
      <c r="A37" s="21" t="s">
        <v>1089</v>
      </c>
      <c r="B37" s="71">
        <v>7</v>
      </c>
      <c r="C37" s="2"/>
      <c r="D37" s="2" t="s">
        <v>1081</v>
      </c>
    </row>
    <row r="38" spans="1:9" x14ac:dyDescent="0.3">
      <c r="A38" s="21" t="s">
        <v>1090</v>
      </c>
      <c r="B38" s="71">
        <v>4</v>
      </c>
      <c r="C38" s="2"/>
      <c r="D38" s="2" t="s">
        <v>1081</v>
      </c>
    </row>
    <row r="39" spans="1:9" x14ac:dyDescent="0.3">
      <c r="A39" s="21" t="s">
        <v>1091</v>
      </c>
      <c r="B39" s="71">
        <v>1</v>
      </c>
      <c r="C39" s="2"/>
      <c r="D39" s="2" t="s">
        <v>1081</v>
      </c>
    </row>
    <row r="40" spans="1:9" x14ac:dyDescent="0.3">
      <c r="A40" s="21" t="s">
        <v>1092</v>
      </c>
      <c r="B40" s="71">
        <v>5</v>
      </c>
      <c r="C40" s="2"/>
      <c r="D40" s="2" t="s">
        <v>1081</v>
      </c>
    </row>
    <row r="41" spans="1:9" x14ac:dyDescent="0.3">
      <c r="A41" s="21" t="s">
        <v>1093</v>
      </c>
      <c r="B41" s="71">
        <v>13</v>
      </c>
      <c r="C41" s="2"/>
      <c r="D41" s="2" t="s">
        <v>1081</v>
      </c>
    </row>
    <row r="42" spans="1:9" x14ac:dyDescent="0.3">
      <c r="A42" s="21" t="s">
        <v>1094</v>
      </c>
      <c r="B42" s="71">
        <v>60</v>
      </c>
      <c r="C42" s="2"/>
      <c r="D42" s="2" t="s">
        <v>1081</v>
      </c>
    </row>
    <row r="43" spans="1:9" x14ac:dyDescent="0.3">
      <c r="A43" s="21" t="s">
        <v>1095</v>
      </c>
      <c r="B43" s="71">
        <v>4</v>
      </c>
      <c r="C43" s="2"/>
      <c r="D43" s="2" t="s">
        <v>1081</v>
      </c>
    </row>
    <row r="45" spans="1:9" x14ac:dyDescent="0.3">
      <c r="A45" s="4" t="s">
        <v>1096</v>
      </c>
      <c r="B45" s="5"/>
      <c r="C45" s="5"/>
      <c r="D45" s="5"/>
      <c r="E45" s="5"/>
      <c r="F45" s="5"/>
      <c r="G45" s="5"/>
      <c r="H45" s="5"/>
      <c r="I45" s="5"/>
    </row>
    <row r="46" spans="1:9" x14ac:dyDescent="0.3">
      <c r="A46" s="11" t="s">
        <v>417</v>
      </c>
      <c r="B46" s="11" t="s">
        <v>418</v>
      </c>
      <c r="C46" s="11" t="s">
        <v>419</v>
      </c>
      <c r="D46" s="11" t="s">
        <v>1097</v>
      </c>
      <c r="E46" s="11" t="s">
        <v>424</v>
      </c>
      <c r="F46" s="11" t="s">
        <v>1098</v>
      </c>
      <c r="G46" s="11" t="s">
        <v>425</v>
      </c>
      <c r="H46" s="11" t="s">
        <v>426</v>
      </c>
      <c r="I46" s="11" t="s">
        <v>28</v>
      </c>
    </row>
    <row r="47" spans="1:9" x14ac:dyDescent="0.3">
      <c r="A47" s="84" t="s">
        <v>1099</v>
      </c>
      <c r="B47" s="116">
        <f>ROUND(12*$B$19/$B$35,0)</f>
        <v>12</v>
      </c>
      <c r="C47" s="86" t="s">
        <v>1100</v>
      </c>
      <c r="D47" s="76">
        <v>140</v>
      </c>
      <c r="E47" s="13">
        <f t="shared" ref="E47:E56" si="0">B47*D47</f>
        <v>1680</v>
      </c>
      <c r="F47" s="117">
        <v>4</v>
      </c>
      <c r="G47" s="13">
        <f t="shared" ref="G47:G56" si="1">B47*F47*$B$6</f>
        <v>1680</v>
      </c>
      <c r="H47" s="13">
        <f t="shared" ref="H47:H56" si="2">E47+G47</f>
        <v>3360</v>
      </c>
      <c r="I47" s="86" t="s">
        <v>1101</v>
      </c>
    </row>
    <row r="48" spans="1:9" x14ac:dyDescent="0.3">
      <c r="A48" s="84" t="s">
        <v>1102</v>
      </c>
      <c r="B48" s="118">
        <v>1</v>
      </c>
      <c r="C48" s="86" t="s">
        <v>147</v>
      </c>
      <c r="D48" s="76">
        <v>450</v>
      </c>
      <c r="E48" s="13">
        <f t="shared" si="0"/>
        <v>450</v>
      </c>
      <c r="F48" s="117">
        <v>6</v>
      </c>
      <c r="G48" s="13">
        <f t="shared" si="1"/>
        <v>210</v>
      </c>
      <c r="H48" s="13">
        <f t="shared" si="2"/>
        <v>660</v>
      </c>
      <c r="I48" s="86" t="s">
        <v>1103</v>
      </c>
    </row>
    <row r="49" spans="1:9" x14ac:dyDescent="0.3">
      <c r="A49" s="84" t="s">
        <v>1104</v>
      </c>
      <c r="B49" s="118">
        <v>1</v>
      </c>
      <c r="C49" s="86" t="s">
        <v>147</v>
      </c>
      <c r="D49" s="76">
        <v>600</v>
      </c>
      <c r="E49" s="13">
        <f t="shared" si="0"/>
        <v>600</v>
      </c>
      <c r="F49" s="117">
        <v>8</v>
      </c>
      <c r="G49" s="13">
        <f t="shared" si="1"/>
        <v>280</v>
      </c>
      <c r="H49" s="13">
        <f t="shared" si="2"/>
        <v>880</v>
      </c>
      <c r="I49" s="86" t="s">
        <v>743</v>
      </c>
    </row>
    <row r="50" spans="1:9" x14ac:dyDescent="0.3">
      <c r="A50" s="84" t="s">
        <v>1105</v>
      </c>
      <c r="B50" s="118">
        <v>1</v>
      </c>
      <c r="C50" s="86" t="s">
        <v>147</v>
      </c>
      <c r="D50" s="76">
        <v>750</v>
      </c>
      <c r="E50" s="13">
        <f t="shared" si="0"/>
        <v>750</v>
      </c>
      <c r="F50" s="117">
        <v>4</v>
      </c>
      <c r="G50" s="13">
        <f t="shared" si="1"/>
        <v>140</v>
      </c>
      <c r="H50" s="13">
        <f t="shared" si="2"/>
        <v>890</v>
      </c>
      <c r="I50" s="86" t="s">
        <v>1106</v>
      </c>
    </row>
    <row r="51" spans="1:9" x14ac:dyDescent="0.3">
      <c r="A51" s="84" t="s">
        <v>1107</v>
      </c>
      <c r="B51" s="116">
        <f>ROUND(2*$B$19/$B$35,0)</f>
        <v>2</v>
      </c>
      <c r="C51" s="86" t="s">
        <v>147</v>
      </c>
      <c r="D51" s="76">
        <v>260</v>
      </c>
      <c r="E51" s="13">
        <f t="shared" si="0"/>
        <v>520</v>
      </c>
      <c r="F51" s="117">
        <v>1.5</v>
      </c>
      <c r="G51" s="13">
        <f t="shared" si="1"/>
        <v>105</v>
      </c>
      <c r="H51" s="13">
        <f t="shared" si="2"/>
        <v>625</v>
      </c>
      <c r="I51" s="86" t="s">
        <v>1108</v>
      </c>
    </row>
    <row r="52" spans="1:9" x14ac:dyDescent="0.3">
      <c r="A52" s="84" t="s">
        <v>1109</v>
      </c>
      <c r="B52" s="116">
        <f>ROUND(2*$B$19/$B$35,0)</f>
        <v>2</v>
      </c>
      <c r="C52" s="86" t="s">
        <v>147</v>
      </c>
      <c r="D52" s="76">
        <v>520</v>
      </c>
      <c r="E52" s="13">
        <f t="shared" si="0"/>
        <v>1040</v>
      </c>
      <c r="F52" s="117">
        <v>2</v>
      </c>
      <c r="G52" s="13">
        <f t="shared" si="1"/>
        <v>140</v>
      </c>
      <c r="H52" s="13">
        <f t="shared" si="2"/>
        <v>1180</v>
      </c>
      <c r="I52" s="86" t="s">
        <v>1110</v>
      </c>
    </row>
    <row r="53" spans="1:9" x14ac:dyDescent="0.3">
      <c r="A53" s="84" t="s">
        <v>1111</v>
      </c>
      <c r="B53" s="116">
        <f>ROUND(1*$B$19/$B$35,0)</f>
        <v>1</v>
      </c>
      <c r="C53" s="86" t="s">
        <v>147</v>
      </c>
      <c r="D53" s="76">
        <v>1150</v>
      </c>
      <c r="E53" s="13">
        <f t="shared" si="0"/>
        <v>1150</v>
      </c>
      <c r="F53" s="117">
        <v>6</v>
      </c>
      <c r="G53" s="13">
        <f t="shared" si="1"/>
        <v>210</v>
      </c>
      <c r="H53" s="13">
        <f t="shared" si="2"/>
        <v>1360</v>
      </c>
      <c r="I53" s="86" t="s">
        <v>1112</v>
      </c>
    </row>
    <row r="54" spans="1:9" x14ac:dyDescent="0.3">
      <c r="A54" s="84" t="s">
        <v>1113</v>
      </c>
      <c r="B54" s="116">
        <f>ROUND(1*$B$19/$B$35,0)</f>
        <v>1</v>
      </c>
      <c r="C54" s="86" t="s">
        <v>147</v>
      </c>
      <c r="D54" s="76">
        <v>650</v>
      </c>
      <c r="E54" s="13">
        <f t="shared" si="0"/>
        <v>650</v>
      </c>
      <c r="F54" s="117">
        <v>5</v>
      </c>
      <c r="G54" s="13">
        <f t="shared" si="1"/>
        <v>175</v>
      </c>
      <c r="H54" s="13">
        <f t="shared" si="2"/>
        <v>825</v>
      </c>
      <c r="I54" s="86" t="s">
        <v>1114</v>
      </c>
    </row>
    <row r="55" spans="1:9" x14ac:dyDescent="0.3">
      <c r="A55" s="84" t="s">
        <v>1115</v>
      </c>
      <c r="B55" s="118">
        <v>1</v>
      </c>
      <c r="C55" s="86" t="s">
        <v>147</v>
      </c>
      <c r="D55" s="76">
        <v>620</v>
      </c>
      <c r="E55" s="13">
        <f t="shared" si="0"/>
        <v>620</v>
      </c>
      <c r="F55" s="117">
        <v>3</v>
      </c>
      <c r="G55" s="13">
        <f t="shared" si="1"/>
        <v>105</v>
      </c>
      <c r="H55" s="13">
        <f t="shared" si="2"/>
        <v>725</v>
      </c>
      <c r="I55" s="86"/>
    </row>
    <row r="56" spans="1:9" x14ac:dyDescent="0.3">
      <c r="A56" s="84" t="s">
        <v>1116</v>
      </c>
      <c r="B56" s="118">
        <v>1</v>
      </c>
      <c r="C56" s="86" t="s">
        <v>147</v>
      </c>
      <c r="D56" s="76">
        <v>120</v>
      </c>
      <c r="E56" s="13">
        <f t="shared" si="0"/>
        <v>120</v>
      </c>
      <c r="F56" s="117">
        <v>2</v>
      </c>
      <c r="G56" s="13">
        <f t="shared" si="1"/>
        <v>70</v>
      </c>
      <c r="H56" s="13">
        <f t="shared" si="2"/>
        <v>190</v>
      </c>
      <c r="I56" s="86" t="s">
        <v>1117</v>
      </c>
    </row>
    <row r="57" spans="1:9" x14ac:dyDescent="0.3">
      <c r="A57" s="16" t="s">
        <v>1118</v>
      </c>
      <c r="B57" s="20"/>
      <c r="C57" s="20"/>
      <c r="D57" s="20"/>
      <c r="E57" s="88">
        <f>SUM(E47:E56)</f>
        <v>7580</v>
      </c>
      <c r="F57" s="20"/>
      <c r="G57" s="88">
        <f>SUM(G47:G56)</f>
        <v>3115</v>
      </c>
      <c r="H57" s="88">
        <f>SUM(H47:H56)</f>
        <v>10695</v>
      </c>
      <c r="I57" s="20"/>
    </row>
    <row r="59" spans="1:9" x14ac:dyDescent="0.3">
      <c r="A59" s="4" t="s">
        <v>1119</v>
      </c>
      <c r="B59" s="5"/>
      <c r="C59" s="5"/>
      <c r="D59" s="5"/>
      <c r="E59" s="5"/>
      <c r="F59" s="5"/>
      <c r="G59" s="5"/>
      <c r="H59" s="5"/>
      <c r="I59" s="5"/>
    </row>
    <row r="60" spans="1:9" x14ac:dyDescent="0.3">
      <c r="A60" s="11" t="s">
        <v>417</v>
      </c>
      <c r="B60" s="11" t="s">
        <v>418</v>
      </c>
      <c r="C60" s="11" t="s">
        <v>419</v>
      </c>
      <c r="D60" s="11" t="s">
        <v>1097</v>
      </c>
      <c r="E60" s="11" t="s">
        <v>424</v>
      </c>
      <c r="F60" s="11" t="s">
        <v>1098</v>
      </c>
      <c r="G60" s="11" t="s">
        <v>425</v>
      </c>
      <c r="H60" s="11" t="s">
        <v>426</v>
      </c>
      <c r="I60" s="11" t="s">
        <v>28</v>
      </c>
    </row>
    <row r="61" spans="1:9" x14ac:dyDescent="0.3">
      <c r="A61" s="84" t="s">
        <v>1120</v>
      </c>
      <c r="B61" s="118">
        <v>1</v>
      </c>
      <c r="C61" s="86" t="s">
        <v>147</v>
      </c>
      <c r="D61" s="76">
        <v>1900</v>
      </c>
      <c r="E61" s="13">
        <f t="shared" ref="E61:E68" si="3">B61*D61</f>
        <v>1900</v>
      </c>
      <c r="F61" s="117">
        <v>16</v>
      </c>
      <c r="G61" s="13">
        <f t="shared" ref="G61:G68" si="4">B61*F61*$B$6</f>
        <v>560</v>
      </c>
      <c r="H61" s="13">
        <f t="shared" ref="H61:H68" si="5">E61+G61</f>
        <v>2460</v>
      </c>
      <c r="I61" s="86" t="s">
        <v>1121</v>
      </c>
    </row>
    <row r="62" spans="1:9" x14ac:dyDescent="0.3">
      <c r="A62" s="84" t="s">
        <v>1122</v>
      </c>
      <c r="B62" s="116">
        <f>ROUND(34*$B$17/$B$33,0)</f>
        <v>34</v>
      </c>
      <c r="C62" s="86" t="s">
        <v>1123</v>
      </c>
      <c r="D62" s="76">
        <v>45</v>
      </c>
      <c r="E62" s="13">
        <f t="shared" si="3"/>
        <v>1530</v>
      </c>
      <c r="F62" s="117">
        <v>0.9</v>
      </c>
      <c r="G62" s="13">
        <f t="shared" si="4"/>
        <v>1071</v>
      </c>
      <c r="H62" s="13">
        <f t="shared" si="5"/>
        <v>2601</v>
      </c>
      <c r="I62" s="86" t="s">
        <v>1124</v>
      </c>
    </row>
    <row r="63" spans="1:9" x14ac:dyDescent="0.3">
      <c r="A63" s="84" t="s">
        <v>1125</v>
      </c>
      <c r="B63" s="118">
        <v>7</v>
      </c>
      <c r="C63" s="86" t="s">
        <v>1126</v>
      </c>
      <c r="D63" s="76">
        <v>110</v>
      </c>
      <c r="E63" s="13">
        <f t="shared" si="3"/>
        <v>770</v>
      </c>
      <c r="F63" s="117">
        <v>2.5</v>
      </c>
      <c r="G63" s="13">
        <f t="shared" si="4"/>
        <v>612.5</v>
      </c>
      <c r="H63" s="13">
        <f t="shared" si="5"/>
        <v>1382.5</v>
      </c>
      <c r="I63" s="86"/>
    </row>
    <row r="64" spans="1:9" x14ac:dyDescent="0.3">
      <c r="A64" s="84" t="s">
        <v>1127</v>
      </c>
      <c r="B64" s="118">
        <v>8</v>
      </c>
      <c r="C64" s="86" t="s">
        <v>147</v>
      </c>
      <c r="D64" s="76">
        <v>35</v>
      </c>
      <c r="E64" s="13">
        <f t="shared" si="3"/>
        <v>280</v>
      </c>
      <c r="F64" s="117">
        <v>0.5</v>
      </c>
      <c r="G64" s="13">
        <f t="shared" si="4"/>
        <v>140</v>
      </c>
      <c r="H64" s="13">
        <f t="shared" si="5"/>
        <v>420</v>
      </c>
      <c r="I64" s="86" t="s">
        <v>1128</v>
      </c>
    </row>
    <row r="65" spans="1:9" x14ac:dyDescent="0.3">
      <c r="A65" s="84" t="s">
        <v>1129</v>
      </c>
      <c r="B65" s="116">
        <f>ROUND(4*$B$18/$B$34,0)</f>
        <v>4</v>
      </c>
      <c r="C65" s="86" t="s">
        <v>147</v>
      </c>
      <c r="D65" s="76">
        <v>45</v>
      </c>
      <c r="E65" s="13">
        <f t="shared" si="3"/>
        <v>180</v>
      </c>
      <c r="F65" s="117">
        <v>0.5</v>
      </c>
      <c r="G65" s="13">
        <f t="shared" si="4"/>
        <v>70</v>
      </c>
      <c r="H65" s="13">
        <f t="shared" si="5"/>
        <v>250</v>
      </c>
      <c r="I65" s="86" t="s">
        <v>1130</v>
      </c>
    </row>
    <row r="66" spans="1:9" x14ac:dyDescent="0.3">
      <c r="A66" s="84" t="s">
        <v>1131</v>
      </c>
      <c r="B66" s="116">
        <f>ROUND(2*$B$19/$B$35,0)</f>
        <v>2</v>
      </c>
      <c r="C66" s="86" t="s">
        <v>147</v>
      </c>
      <c r="D66" s="76">
        <v>140</v>
      </c>
      <c r="E66" s="13">
        <f t="shared" si="3"/>
        <v>280</v>
      </c>
      <c r="F66" s="117">
        <v>1.5</v>
      </c>
      <c r="G66" s="13">
        <f t="shared" si="4"/>
        <v>105</v>
      </c>
      <c r="H66" s="13">
        <f t="shared" si="5"/>
        <v>385</v>
      </c>
      <c r="I66" s="86" t="s">
        <v>1132</v>
      </c>
    </row>
    <row r="67" spans="1:9" x14ac:dyDescent="0.3">
      <c r="A67" s="84" t="s">
        <v>1133</v>
      </c>
      <c r="B67" s="118">
        <v>1</v>
      </c>
      <c r="C67" s="86" t="s">
        <v>147</v>
      </c>
      <c r="D67" s="76">
        <v>260</v>
      </c>
      <c r="E67" s="13">
        <f t="shared" si="3"/>
        <v>260</v>
      </c>
      <c r="F67" s="117">
        <v>2</v>
      </c>
      <c r="G67" s="13">
        <f t="shared" si="4"/>
        <v>70</v>
      </c>
      <c r="H67" s="13">
        <f t="shared" si="5"/>
        <v>330</v>
      </c>
      <c r="I67" s="86"/>
    </row>
    <row r="68" spans="1:9" x14ac:dyDescent="0.3">
      <c r="A68" s="84" t="s">
        <v>1134</v>
      </c>
      <c r="B68" s="118">
        <v>1</v>
      </c>
      <c r="C68" s="86" t="s">
        <v>1135</v>
      </c>
      <c r="D68" s="76">
        <v>350</v>
      </c>
      <c r="E68" s="13">
        <f t="shared" si="3"/>
        <v>350</v>
      </c>
      <c r="F68" s="117">
        <v>6</v>
      </c>
      <c r="G68" s="13">
        <f t="shared" si="4"/>
        <v>210</v>
      </c>
      <c r="H68" s="13">
        <f t="shared" si="5"/>
        <v>560</v>
      </c>
      <c r="I68" s="86"/>
    </row>
    <row r="69" spans="1:9" x14ac:dyDescent="0.3">
      <c r="A69" s="16" t="s">
        <v>1136</v>
      </c>
      <c r="B69" s="20"/>
      <c r="C69" s="20"/>
      <c r="D69" s="20"/>
      <c r="E69" s="88">
        <f>SUM(E61:E68)</f>
        <v>5550</v>
      </c>
      <c r="F69" s="20"/>
      <c r="G69" s="88">
        <f>SUM(G61:G68)</f>
        <v>2838.5</v>
      </c>
      <c r="H69" s="88">
        <f>SUM(H61:H68)</f>
        <v>8388.5</v>
      </c>
      <c r="I69" s="20"/>
    </row>
    <row r="71" spans="1:9" x14ac:dyDescent="0.3">
      <c r="A71" s="4" t="s">
        <v>1137</v>
      </c>
      <c r="B71" s="5"/>
      <c r="C71" s="5"/>
      <c r="D71" s="5"/>
      <c r="E71" s="5"/>
      <c r="F71" s="5"/>
      <c r="G71" s="5"/>
      <c r="H71" s="5"/>
      <c r="I71" s="5"/>
    </row>
    <row r="72" spans="1:9" x14ac:dyDescent="0.3">
      <c r="A72" s="11" t="s">
        <v>417</v>
      </c>
      <c r="B72" s="11" t="s">
        <v>418</v>
      </c>
      <c r="C72" s="11" t="s">
        <v>419</v>
      </c>
      <c r="D72" s="11" t="s">
        <v>1097</v>
      </c>
      <c r="E72" s="11" t="s">
        <v>424</v>
      </c>
      <c r="F72" s="11" t="s">
        <v>1098</v>
      </c>
      <c r="G72" s="11" t="s">
        <v>425</v>
      </c>
      <c r="H72" s="11" t="s">
        <v>426</v>
      </c>
      <c r="I72" s="11" t="s">
        <v>28</v>
      </c>
    </row>
    <row r="73" spans="1:9" x14ac:dyDescent="0.3">
      <c r="A73" s="84" t="s">
        <v>1138</v>
      </c>
      <c r="B73" s="116">
        <f>ROUND(12*$B$9/$B$29,0)</f>
        <v>12</v>
      </c>
      <c r="C73" s="86" t="s">
        <v>147</v>
      </c>
      <c r="D73" s="76">
        <v>55</v>
      </c>
      <c r="E73" s="13">
        <f t="shared" ref="E73:E78" si="6">B73*D73</f>
        <v>660</v>
      </c>
      <c r="F73" s="117">
        <v>0.75</v>
      </c>
      <c r="G73" s="13">
        <f t="shared" ref="G73:G78" si="7">B73*F73*$B$6</f>
        <v>315</v>
      </c>
      <c r="H73" s="13">
        <f t="shared" ref="H73:H78" si="8">E73+G73</f>
        <v>975</v>
      </c>
      <c r="I73" s="86" t="s">
        <v>1139</v>
      </c>
    </row>
    <row r="74" spans="1:9" x14ac:dyDescent="0.3">
      <c r="A74" s="84" t="s">
        <v>1140</v>
      </c>
      <c r="B74" s="118">
        <v>3</v>
      </c>
      <c r="C74" s="86" t="s">
        <v>147</v>
      </c>
      <c r="D74" s="76">
        <v>120</v>
      </c>
      <c r="E74" s="13">
        <f t="shared" si="6"/>
        <v>360</v>
      </c>
      <c r="F74" s="117">
        <v>1</v>
      </c>
      <c r="G74" s="13">
        <f t="shared" si="7"/>
        <v>105</v>
      </c>
      <c r="H74" s="13">
        <f t="shared" si="8"/>
        <v>465</v>
      </c>
      <c r="I74" s="86"/>
    </row>
    <row r="75" spans="1:9" x14ac:dyDescent="0.3">
      <c r="A75" s="84" t="s">
        <v>1141</v>
      </c>
      <c r="B75" s="116">
        <f>ROUND(2*$B$18/$B$34,0)</f>
        <v>2</v>
      </c>
      <c r="C75" s="86" t="s">
        <v>147</v>
      </c>
      <c r="D75" s="76">
        <v>180</v>
      </c>
      <c r="E75" s="13">
        <f t="shared" si="6"/>
        <v>360</v>
      </c>
      <c r="F75" s="117">
        <v>1.5</v>
      </c>
      <c r="G75" s="13">
        <f t="shared" si="7"/>
        <v>105</v>
      </c>
      <c r="H75" s="13">
        <f t="shared" si="8"/>
        <v>465</v>
      </c>
      <c r="I75" s="86" t="s">
        <v>1142</v>
      </c>
    </row>
    <row r="76" spans="1:9" x14ac:dyDescent="0.3">
      <c r="A76" s="84" t="s">
        <v>1143</v>
      </c>
      <c r="B76" s="116">
        <f>ROUND(2*$B$19/$B$35,0)</f>
        <v>2</v>
      </c>
      <c r="C76" s="86" t="s">
        <v>147</v>
      </c>
      <c r="D76" s="76">
        <v>110</v>
      </c>
      <c r="E76" s="13">
        <f t="shared" si="6"/>
        <v>220</v>
      </c>
      <c r="F76" s="117">
        <v>1</v>
      </c>
      <c r="G76" s="13">
        <f t="shared" si="7"/>
        <v>70</v>
      </c>
      <c r="H76" s="13">
        <f t="shared" si="8"/>
        <v>290</v>
      </c>
      <c r="I76" s="86" t="s">
        <v>1144</v>
      </c>
    </row>
    <row r="77" spans="1:9" x14ac:dyDescent="0.3">
      <c r="A77" s="84" t="s">
        <v>1145</v>
      </c>
      <c r="B77" s="116">
        <f>ROUND(4*$B$18/$B$34,0)</f>
        <v>4</v>
      </c>
      <c r="C77" s="86" t="s">
        <v>147</v>
      </c>
      <c r="D77" s="76">
        <v>45</v>
      </c>
      <c r="E77" s="13">
        <f t="shared" si="6"/>
        <v>180</v>
      </c>
      <c r="F77" s="117">
        <v>0.75</v>
      </c>
      <c r="G77" s="13">
        <f t="shared" si="7"/>
        <v>105</v>
      </c>
      <c r="H77" s="13">
        <f t="shared" si="8"/>
        <v>285</v>
      </c>
      <c r="I77" s="86" t="s">
        <v>1146</v>
      </c>
    </row>
    <row r="78" spans="1:9" x14ac:dyDescent="0.3">
      <c r="A78" s="84" t="s">
        <v>1147</v>
      </c>
      <c r="B78" s="116">
        <f>ROUND(4*$B$27/$B$43,0)</f>
        <v>4</v>
      </c>
      <c r="C78" s="86" t="s">
        <v>147</v>
      </c>
      <c r="D78" s="76">
        <v>95</v>
      </c>
      <c r="E78" s="13">
        <f t="shared" si="6"/>
        <v>380</v>
      </c>
      <c r="F78" s="117">
        <v>1</v>
      </c>
      <c r="G78" s="13">
        <f t="shared" si="7"/>
        <v>140</v>
      </c>
      <c r="H78" s="13">
        <f t="shared" si="8"/>
        <v>520</v>
      </c>
      <c r="I78" s="86" t="s">
        <v>1148</v>
      </c>
    </row>
    <row r="79" spans="1:9" x14ac:dyDescent="0.3">
      <c r="A79" s="16" t="s">
        <v>1149</v>
      </c>
      <c r="B79" s="20"/>
      <c r="C79" s="20"/>
      <c r="D79" s="20"/>
      <c r="E79" s="88">
        <f>SUM(E73:E78)</f>
        <v>2160</v>
      </c>
      <c r="F79" s="20"/>
      <c r="G79" s="88">
        <f>SUM(G73:G78)</f>
        <v>840</v>
      </c>
      <c r="H79" s="88">
        <f>SUM(H73:H78)</f>
        <v>3000</v>
      </c>
      <c r="I79" s="20"/>
    </row>
    <row r="81" spans="1:9" x14ac:dyDescent="0.3">
      <c r="A81" s="4" t="s">
        <v>1150</v>
      </c>
      <c r="B81" s="5"/>
      <c r="C81" s="5"/>
      <c r="D81" s="5"/>
      <c r="E81" s="5"/>
      <c r="F81" s="5"/>
      <c r="G81" s="5"/>
      <c r="H81" s="5"/>
      <c r="I81" s="5"/>
    </row>
    <row r="82" spans="1:9" x14ac:dyDescent="0.3">
      <c r="A82" s="21" t="s">
        <v>1151</v>
      </c>
      <c r="B82" s="7" t="s">
        <v>14</v>
      </c>
      <c r="C82" s="2"/>
      <c r="D82" s="2" t="s">
        <v>1152</v>
      </c>
    </row>
    <row r="83" spans="1:9" x14ac:dyDescent="0.3">
      <c r="A83" s="21" t="s">
        <v>1153</v>
      </c>
      <c r="B83" s="7" t="s">
        <v>1154</v>
      </c>
      <c r="C83" s="2"/>
      <c r="D83" s="2" t="s">
        <v>1155</v>
      </c>
    </row>
    <row r="84" spans="1:9" x14ac:dyDescent="0.3">
      <c r="A84" s="11" t="s">
        <v>417</v>
      </c>
      <c r="B84" s="11" t="s">
        <v>418</v>
      </c>
      <c r="C84" s="11" t="s">
        <v>419</v>
      </c>
      <c r="D84" s="11" t="s">
        <v>1097</v>
      </c>
      <c r="E84" s="11" t="s">
        <v>424</v>
      </c>
      <c r="F84" s="11" t="s">
        <v>1098</v>
      </c>
      <c r="G84" s="11" t="s">
        <v>425</v>
      </c>
      <c r="H84" s="11" t="s">
        <v>426</v>
      </c>
      <c r="I84" s="11" t="s">
        <v>28</v>
      </c>
    </row>
    <row r="85" spans="1:9" x14ac:dyDescent="0.3">
      <c r="A85" s="84" t="s">
        <v>1156</v>
      </c>
      <c r="B85" s="83">
        <f>IF($B$82="A",1,0)*1*$B$9/$B$29</f>
        <v>1.0003126954346464</v>
      </c>
      <c r="C85" s="86" t="s">
        <v>1157</v>
      </c>
      <c r="D85" s="76">
        <v>5200</v>
      </c>
      <c r="E85" s="13">
        <f>B85*D85</f>
        <v>5201.6260162601611</v>
      </c>
      <c r="F85" s="119">
        <v>2200</v>
      </c>
      <c r="G85" s="13">
        <f>B85*F85</f>
        <v>2200.687929956222</v>
      </c>
      <c r="H85" s="13">
        <f>E85+G85</f>
        <v>7402.3139462163836</v>
      </c>
      <c r="I85" s="86" t="s">
        <v>1158</v>
      </c>
    </row>
    <row r="86" spans="1:9" x14ac:dyDescent="0.3">
      <c r="A86" s="84" t="s">
        <v>1159</v>
      </c>
      <c r="B86" s="83">
        <f>IF($B$82="B",1,0)*1*$B$9/$B$29</f>
        <v>0</v>
      </c>
      <c r="C86" s="86" t="s">
        <v>1157</v>
      </c>
      <c r="D86" s="76">
        <v>1900</v>
      </c>
      <c r="E86" s="13">
        <f>B86*D86</f>
        <v>0</v>
      </c>
      <c r="F86" s="119">
        <v>900</v>
      </c>
      <c r="G86" s="13">
        <f>B86*F86</f>
        <v>0</v>
      </c>
      <c r="H86" s="13">
        <f>E86+G86</f>
        <v>0</v>
      </c>
      <c r="I86" s="86" t="s">
        <v>1160</v>
      </c>
    </row>
    <row r="87" spans="1:9" x14ac:dyDescent="0.3">
      <c r="A87" s="84" t="s">
        <v>1161</v>
      </c>
      <c r="B87" s="83">
        <f>IF($B$82="C",1,0)*1*$B$9/$B$29</f>
        <v>0</v>
      </c>
      <c r="C87" s="86" t="s">
        <v>1157</v>
      </c>
      <c r="D87" s="76">
        <v>8200</v>
      </c>
      <c r="E87" s="13">
        <f>B87*D87</f>
        <v>0</v>
      </c>
      <c r="F87" s="119">
        <v>4800</v>
      </c>
      <c r="G87" s="13">
        <f>B87*F87</f>
        <v>0</v>
      </c>
      <c r="H87" s="13">
        <f>E87+G87</f>
        <v>0</v>
      </c>
      <c r="I87" s="86" t="s">
        <v>1162</v>
      </c>
    </row>
    <row r="88" spans="1:9" x14ac:dyDescent="0.3">
      <c r="A88" s="84" t="s">
        <v>1163</v>
      </c>
      <c r="B88" s="83">
        <f>IF($B$83="yes",1,0)*1</f>
        <v>1</v>
      </c>
      <c r="C88" s="86" t="s">
        <v>147</v>
      </c>
      <c r="D88" s="76">
        <v>1400</v>
      </c>
      <c r="E88" s="13">
        <f>B88*D88</f>
        <v>1400</v>
      </c>
      <c r="F88" s="119">
        <v>800</v>
      </c>
      <c r="G88" s="13">
        <f>B88*F88</f>
        <v>800</v>
      </c>
      <c r="H88" s="13">
        <f>E88+G88</f>
        <v>2200</v>
      </c>
      <c r="I88" s="86" t="s">
        <v>1164</v>
      </c>
    </row>
    <row r="89" spans="1:9" x14ac:dyDescent="0.3">
      <c r="A89" s="16" t="s">
        <v>1165</v>
      </c>
      <c r="B89" s="20"/>
      <c r="C89" s="20"/>
      <c r="D89" s="20"/>
      <c r="E89" s="88">
        <f>SUM(E85:E88)</f>
        <v>6601.6260162601611</v>
      </c>
      <c r="F89" s="20"/>
      <c r="G89" s="88">
        <f>SUM(G85:G88)</f>
        <v>3000.687929956222</v>
      </c>
      <c r="H89" s="88">
        <f>SUM(H85:H88)</f>
        <v>9602.3139462163836</v>
      </c>
      <c r="I89" s="20"/>
    </row>
    <row r="91" spans="1:9" x14ac:dyDescent="0.3">
      <c r="A91" s="4" t="s">
        <v>1166</v>
      </c>
      <c r="B91" s="5"/>
      <c r="C91" s="5"/>
      <c r="D91" s="5"/>
      <c r="E91" s="5"/>
      <c r="F91" s="5"/>
      <c r="G91" s="5"/>
      <c r="H91" s="5"/>
      <c r="I91" s="5"/>
    </row>
    <row r="92" spans="1:9" x14ac:dyDescent="0.3">
      <c r="A92" s="11" t="s">
        <v>417</v>
      </c>
      <c r="B92" s="11" t="s">
        <v>418</v>
      </c>
      <c r="C92" s="11" t="s">
        <v>419</v>
      </c>
      <c r="D92" s="11" t="s">
        <v>1097</v>
      </c>
      <c r="E92" s="11" t="s">
        <v>424</v>
      </c>
      <c r="F92" s="11" t="s">
        <v>1098</v>
      </c>
      <c r="G92" s="11" t="s">
        <v>425</v>
      </c>
      <c r="H92" s="11" t="s">
        <v>426</v>
      </c>
      <c r="I92" s="11" t="s">
        <v>28</v>
      </c>
    </row>
    <row r="93" spans="1:9" x14ac:dyDescent="0.3">
      <c r="A93" s="84" t="s">
        <v>1167</v>
      </c>
      <c r="B93" s="120">
        <v>22</v>
      </c>
      <c r="C93" s="86" t="s">
        <v>299</v>
      </c>
      <c r="D93" s="76">
        <v>210</v>
      </c>
      <c r="E93" s="13">
        <f t="shared" ref="E93:E101" si="9">B93*D93</f>
        <v>4620</v>
      </c>
      <c r="F93" s="117">
        <v>1.2</v>
      </c>
      <c r="G93" s="13">
        <f t="shared" ref="G93:G101" si="10">B93*F93*$B$6</f>
        <v>924</v>
      </c>
      <c r="H93" s="13">
        <f t="shared" ref="H93:H101" si="11">E93+G93</f>
        <v>5544</v>
      </c>
      <c r="I93" s="86" t="s">
        <v>1168</v>
      </c>
    </row>
    <row r="94" spans="1:9" x14ac:dyDescent="0.3">
      <c r="A94" s="84" t="s">
        <v>1169</v>
      </c>
      <c r="B94" s="120">
        <v>7</v>
      </c>
      <c r="C94" s="86" t="s">
        <v>299</v>
      </c>
      <c r="D94" s="76">
        <v>240</v>
      </c>
      <c r="E94" s="13">
        <f t="shared" si="9"/>
        <v>1680</v>
      </c>
      <c r="F94" s="117">
        <v>1.2</v>
      </c>
      <c r="G94" s="13">
        <f t="shared" si="10"/>
        <v>294</v>
      </c>
      <c r="H94" s="13">
        <f t="shared" si="11"/>
        <v>1974</v>
      </c>
      <c r="I94" s="86" t="s">
        <v>1170</v>
      </c>
    </row>
    <row r="95" spans="1:9" x14ac:dyDescent="0.3">
      <c r="A95" s="84" t="s">
        <v>1171</v>
      </c>
      <c r="B95" s="120">
        <v>62</v>
      </c>
      <c r="C95" s="86" t="s">
        <v>302</v>
      </c>
      <c r="D95" s="76">
        <v>70</v>
      </c>
      <c r="E95" s="13">
        <f t="shared" si="9"/>
        <v>4340</v>
      </c>
      <c r="F95" s="117">
        <v>0.4</v>
      </c>
      <c r="G95" s="13">
        <f t="shared" si="10"/>
        <v>868</v>
      </c>
      <c r="H95" s="13">
        <f t="shared" si="11"/>
        <v>5208</v>
      </c>
      <c r="I95" s="86" t="s">
        <v>1172</v>
      </c>
    </row>
    <row r="96" spans="1:9" x14ac:dyDescent="0.3">
      <c r="A96" s="84" t="s">
        <v>1173</v>
      </c>
      <c r="B96" s="120">
        <v>30</v>
      </c>
      <c r="C96" s="86" t="s">
        <v>302</v>
      </c>
      <c r="D96" s="76">
        <v>12</v>
      </c>
      <c r="E96" s="13">
        <f t="shared" si="9"/>
        <v>360</v>
      </c>
      <c r="F96" s="117">
        <v>0.6</v>
      </c>
      <c r="G96" s="13">
        <f t="shared" si="10"/>
        <v>630</v>
      </c>
      <c r="H96" s="13">
        <f t="shared" si="11"/>
        <v>990</v>
      </c>
      <c r="I96" s="86"/>
    </row>
    <row r="97" spans="1:9" x14ac:dyDescent="0.3">
      <c r="A97" s="84" t="s">
        <v>1174</v>
      </c>
      <c r="B97" s="118">
        <v>1</v>
      </c>
      <c r="C97" s="86" t="s">
        <v>147</v>
      </c>
      <c r="D97" s="76">
        <v>1500</v>
      </c>
      <c r="E97" s="13">
        <f t="shared" si="9"/>
        <v>1500</v>
      </c>
      <c r="F97" s="117">
        <v>0.5</v>
      </c>
      <c r="G97" s="13">
        <f t="shared" si="10"/>
        <v>17.5</v>
      </c>
      <c r="H97" s="13">
        <f t="shared" si="11"/>
        <v>1517.5</v>
      </c>
      <c r="I97" s="86"/>
    </row>
    <row r="98" spans="1:9" x14ac:dyDescent="0.3">
      <c r="A98" s="84" t="s">
        <v>1175</v>
      </c>
      <c r="B98" s="118">
        <v>1</v>
      </c>
      <c r="C98" s="86" t="s">
        <v>147</v>
      </c>
      <c r="D98" s="76">
        <v>900</v>
      </c>
      <c r="E98" s="13">
        <f t="shared" si="9"/>
        <v>900</v>
      </c>
      <c r="F98" s="117">
        <v>1</v>
      </c>
      <c r="G98" s="13">
        <f t="shared" si="10"/>
        <v>35</v>
      </c>
      <c r="H98" s="13">
        <f t="shared" si="11"/>
        <v>935</v>
      </c>
      <c r="I98" s="86"/>
    </row>
    <row r="99" spans="1:9" x14ac:dyDescent="0.3">
      <c r="A99" s="84" t="s">
        <v>1176</v>
      </c>
      <c r="B99" s="118">
        <v>1</v>
      </c>
      <c r="C99" s="86" t="s">
        <v>147</v>
      </c>
      <c r="D99" s="76">
        <v>650</v>
      </c>
      <c r="E99" s="13">
        <f t="shared" si="9"/>
        <v>650</v>
      </c>
      <c r="F99" s="117">
        <v>1.5</v>
      </c>
      <c r="G99" s="13">
        <f t="shared" si="10"/>
        <v>52.5</v>
      </c>
      <c r="H99" s="13">
        <f t="shared" si="11"/>
        <v>702.5</v>
      </c>
      <c r="I99" s="86"/>
    </row>
    <row r="100" spans="1:9" x14ac:dyDescent="0.3">
      <c r="A100" s="84" t="s">
        <v>1177</v>
      </c>
      <c r="B100" s="118">
        <v>1</v>
      </c>
      <c r="C100" s="86" t="s">
        <v>147</v>
      </c>
      <c r="D100" s="76">
        <v>250</v>
      </c>
      <c r="E100" s="13">
        <f t="shared" si="9"/>
        <v>250</v>
      </c>
      <c r="F100" s="117">
        <v>0.5</v>
      </c>
      <c r="G100" s="13">
        <f t="shared" si="10"/>
        <v>17.5</v>
      </c>
      <c r="H100" s="13">
        <f t="shared" si="11"/>
        <v>267.5</v>
      </c>
      <c r="I100" s="86"/>
    </row>
    <row r="101" spans="1:9" x14ac:dyDescent="0.3">
      <c r="A101" s="84" t="s">
        <v>1178</v>
      </c>
      <c r="B101" s="118">
        <v>1</v>
      </c>
      <c r="C101" s="86" t="s">
        <v>1179</v>
      </c>
      <c r="D101" s="76">
        <v>1600</v>
      </c>
      <c r="E101" s="13">
        <f t="shared" si="9"/>
        <v>1600</v>
      </c>
      <c r="F101" s="117">
        <v>1.5</v>
      </c>
      <c r="G101" s="13">
        <f t="shared" si="10"/>
        <v>52.5</v>
      </c>
      <c r="H101" s="13">
        <f t="shared" si="11"/>
        <v>1652.5</v>
      </c>
      <c r="I101" s="86" t="s">
        <v>1117</v>
      </c>
    </row>
    <row r="102" spans="1:9" x14ac:dyDescent="0.3">
      <c r="A102" s="16" t="s">
        <v>1180</v>
      </c>
      <c r="B102" s="20"/>
      <c r="C102" s="20"/>
      <c r="D102" s="20"/>
      <c r="E102" s="88">
        <f>SUM(E93:E101)</f>
        <v>15900</v>
      </c>
      <c r="F102" s="20"/>
      <c r="G102" s="88">
        <f>SUM(G93:G101)</f>
        <v>2891</v>
      </c>
      <c r="H102" s="88">
        <f>SUM(H93:H101)</f>
        <v>18791</v>
      </c>
      <c r="I102" s="20"/>
    </row>
    <row r="104" spans="1:9" x14ac:dyDescent="0.3">
      <c r="A104" s="4" t="s">
        <v>1181</v>
      </c>
      <c r="B104" s="5"/>
      <c r="C104" s="5"/>
      <c r="D104" s="5"/>
      <c r="E104" s="5"/>
      <c r="F104" s="5"/>
      <c r="G104" s="5"/>
      <c r="H104" s="5"/>
      <c r="I104" s="5"/>
    </row>
    <row r="105" spans="1:9" x14ac:dyDescent="0.3">
      <c r="A105" s="11" t="s">
        <v>417</v>
      </c>
      <c r="B105" s="11" t="s">
        <v>418</v>
      </c>
      <c r="C105" s="11" t="s">
        <v>419</v>
      </c>
      <c r="D105" s="11" t="s">
        <v>1097</v>
      </c>
      <c r="E105" s="11" t="s">
        <v>424</v>
      </c>
      <c r="F105" s="11" t="s">
        <v>1098</v>
      </c>
      <c r="G105" s="11" t="s">
        <v>425</v>
      </c>
      <c r="H105" s="11" t="s">
        <v>426</v>
      </c>
      <c r="I105" s="11" t="s">
        <v>28</v>
      </c>
    </row>
    <row r="106" spans="1:9" x14ac:dyDescent="0.3">
      <c r="A106" s="84" t="s">
        <v>1182</v>
      </c>
      <c r="B106" s="103">
        <f>100*$B$19/$B$35</f>
        <v>100</v>
      </c>
      <c r="C106" s="86" t="s">
        <v>302</v>
      </c>
      <c r="D106" s="76">
        <v>9</v>
      </c>
      <c r="E106" s="13">
        <f>B106*D106</f>
        <v>900</v>
      </c>
      <c r="F106" s="117">
        <v>0.8</v>
      </c>
      <c r="G106" s="13">
        <f>B106*F106*$B$6</f>
        <v>2800</v>
      </c>
      <c r="H106" s="13">
        <f>E106+G106</f>
        <v>3700</v>
      </c>
      <c r="I106" s="86" t="s">
        <v>1183</v>
      </c>
    </row>
    <row r="107" spans="1:9" x14ac:dyDescent="0.3">
      <c r="A107" s="84" t="s">
        <v>1184</v>
      </c>
      <c r="B107" s="103">
        <f>60*$B$19/$B$35</f>
        <v>60</v>
      </c>
      <c r="C107" s="86" t="s">
        <v>302</v>
      </c>
      <c r="D107" s="76">
        <v>9</v>
      </c>
      <c r="E107" s="13">
        <f>B107*D107</f>
        <v>540</v>
      </c>
      <c r="F107" s="117">
        <v>0.8</v>
      </c>
      <c r="G107" s="13">
        <f>B107*F107*$B$6</f>
        <v>1680</v>
      </c>
      <c r="H107" s="13">
        <f>E107+G107</f>
        <v>2220</v>
      </c>
      <c r="I107" s="86" t="s">
        <v>1185</v>
      </c>
    </row>
    <row r="108" spans="1:9" x14ac:dyDescent="0.3">
      <c r="A108" s="84" t="s">
        <v>1186</v>
      </c>
      <c r="B108" s="116">
        <f>ROUND(2*$B$19/$B$35,0)</f>
        <v>2</v>
      </c>
      <c r="C108" s="86" t="s">
        <v>1187</v>
      </c>
      <c r="D108" s="76">
        <v>260</v>
      </c>
      <c r="E108" s="13">
        <f>B108*D108</f>
        <v>520</v>
      </c>
      <c r="F108" s="117">
        <v>2</v>
      </c>
      <c r="G108" s="13">
        <f>B108*F108*$B$6</f>
        <v>140</v>
      </c>
      <c r="H108" s="13">
        <f>E108+G108</f>
        <v>660</v>
      </c>
      <c r="I108" s="86" t="s">
        <v>1144</v>
      </c>
    </row>
    <row r="109" spans="1:9" x14ac:dyDescent="0.3">
      <c r="A109" s="84" t="s">
        <v>1188</v>
      </c>
      <c r="B109" s="116">
        <f>1*$B$19/$B$35</f>
        <v>1</v>
      </c>
      <c r="C109" s="86" t="s">
        <v>1135</v>
      </c>
      <c r="D109" s="76">
        <v>350</v>
      </c>
      <c r="E109" s="13">
        <f>B109*D109</f>
        <v>350</v>
      </c>
      <c r="F109" s="117">
        <v>6</v>
      </c>
      <c r="G109" s="13">
        <f>B109*F109*$B$6</f>
        <v>210</v>
      </c>
      <c r="H109" s="13">
        <f>E109+G109</f>
        <v>560</v>
      </c>
      <c r="I109" s="86" t="s">
        <v>1189</v>
      </c>
    </row>
    <row r="110" spans="1:9" x14ac:dyDescent="0.3">
      <c r="A110" s="16" t="s">
        <v>1190</v>
      </c>
      <c r="B110" s="20"/>
      <c r="C110" s="20"/>
      <c r="D110" s="20"/>
      <c r="E110" s="88">
        <f>SUM(E106:E109)</f>
        <v>2310</v>
      </c>
      <c r="F110" s="20"/>
      <c r="G110" s="88">
        <f>SUM(G106:G109)</f>
        <v>4830</v>
      </c>
      <c r="H110" s="88">
        <f>SUM(H106:H109)</f>
        <v>7140</v>
      </c>
      <c r="I110" s="20"/>
    </row>
    <row r="112" spans="1:9" x14ac:dyDescent="0.3">
      <c r="A112" s="4" t="s">
        <v>1191</v>
      </c>
      <c r="B112" s="5"/>
      <c r="C112" s="5"/>
      <c r="D112" s="5"/>
      <c r="E112" s="5"/>
      <c r="F112" s="5"/>
      <c r="G112" s="5"/>
      <c r="H112" s="5"/>
      <c r="I112" s="5"/>
    </row>
    <row r="113" spans="1:9" x14ac:dyDescent="0.3">
      <c r="A113" s="11" t="s">
        <v>417</v>
      </c>
      <c r="B113" s="11" t="s">
        <v>418</v>
      </c>
      <c r="C113" s="11" t="s">
        <v>419</v>
      </c>
      <c r="D113" s="11" t="s">
        <v>1097</v>
      </c>
      <c r="E113" s="11" t="s">
        <v>424</v>
      </c>
      <c r="F113" s="11" t="s">
        <v>1098</v>
      </c>
      <c r="G113" s="11" t="s">
        <v>425</v>
      </c>
      <c r="H113" s="11" t="s">
        <v>426</v>
      </c>
      <c r="I113" s="11" t="s">
        <v>28</v>
      </c>
    </row>
    <row r="114" spans="1:9" x14ac:dyDescent="0.3">
      <c r="A114" s="84" t="s">
        <v>1192</v>
      </c>
      <c r="B114" s="103">
        <f>682*$B$9/$B$29</f>
        <v>682.21325828642887</v>
      </c>
      <c r="C114" s="86" t="s">
        <v>302</v>
      </c>
      <c r="D114" s="76">
        <v>4.5</v>
      </c>
      <c r="E114" s="13">
        <f>B114*D114</f>
        <v>3069.9596622889298</v>
      </c>
      <c r="F114" s="117">
        <v>0.05</v>
      </c>
      <c r="G114" s="13">
        <f>B114*F114*$B$6</f>
        <v>1193.8732020012505</v>
      </c>
      <c r="H114" s="13">
        <f>E114+G114</f>
        <v>4263.8328642901806</v>
      </c>
      <c r="I114" s="86" t="s">
        <v>1193</v>
      </c>
    </row>
    <row r="115" spans="1:9" x14ac:dyDescent="0.3">
      <c r="A115" s="84" t="s">
        <v>1194</v>
      </c>
      <c r="B115" s="103">
        <f>287*$B$9/$B$29</f>
        <v>287.08974358974348</v>
      </c>
      <c r="C115" s="86" t="s">
        <v>302</v>
      </c>
      <c r="D115" s="76">
        <v>4.5</v>
      </c>
      <c r="E115" s="13">
        <f>B115*D115</f>
        <v>1291.9038461538457</v>
      </c>
      <c r="F115" s="117">
        <v>0.05</v>
      </c>
      <c r="G115" s="13">
        <f>B115*F115*$B$6</f>
        <v>502.4070512820511</v>
      </c>
      <c r="H115" s="13">
        <f>E115+G115</f>
        <v>1794.3108974358968</v>
      </c>
      <c r="I115" s="86" t="s">
        <v>1195</v>
      </c>
    </row>
    <row r="116" spans="1:9" x14ac:dyDescent="0.3">
      <c r="A116" s="84" t="s">
        <v>1196</v>
      </c>
      <c r="B116" s="103">
        <f>97*$B$9/$B$29</f>
        <v>97.030331457160699</v>
      </c>
      <c r="C116" s="86" t="s">
        <v>302</v>
      </c>
      <c r="D116" s="76">
        <v>8</v>
      </c>
      <c r="E116" s="13">
        <f>B116*D116</f>
        <v>776.24265165728559</v>
      </c>
      <c r="F116" s="117">
        <v>0.5</v>
      </c>
      <c r="G116" s="13">
        <f>B116*F116*$B$6</f>
        <v>1698.0308005003121</v>
      </c>
      <c r="H116" s="13">
        <f>E116+G116</f>
        <v>2474.2734521575976</v>
      </c>
      <c r="I116" s="86" t="s">
        <v>1197</v>
      </c>
    </row>
    <row r="117" spans="1:9" x14ac:dyDescent="0.3">
      <c r="A117" s="84" t="s">
        <v>1198</v>
      </c>
      <c r="B117" s="103">
        <f>1066*$B$9/$B$29</f>
        <v>1066.333333333333</v>
      </c>
      <c r="C117" s="86" t="s">
        <v>302</v>
      </c>
      <c r="D117" s="76">
        <v>0.6</v>
      </c>
      <c r="E117" s="13">
        <f>B117*D117</f>
        <v>639.79999999999984</v>
      </c>
      <c r="F117" s="117">
        <v>0.01</v>
      </c>
      <c r="G117" s="13">
        <f>B117*F117*$B$6</f>
        <v>373.21666666666658</v>
      </c>
      <c r="H117" s="13">
        <f>E117+G117</f>
        <v>1013.0166666666664</v>
      </c>
      <c r="I117" s="86" t="s">
        <v>1199</v>
      </c>
    </row>
    <row r="118" spans="1:9" x14ac:dyDescent="0.3">
      <c r="A118" s="84" t="s">
        <v>1200</v>
      </c>
      <c r="B118" s="103">
        <f>300*$B$15/$B$31</f>
        <v>300.0071515411571</v>
      </c>
      <c r="C118" s="86" t="s">
        <v>299</v>
      </c>
      <c r="D118" s="76">
        <v>2.2000000000000002</v>
      </c>
      <c r="E118" s="13">
        <f>B118*D118</f>
        <v>660.01573339054562</v>
      </c>
      <c r="F118" s="117">
        <v>0.06</v>
      </c>
      <c r="G118" s="13">
        <f>B118*F118*$B$6</f>
        <v>630.01501823642991</v>
      </c>
      <c r="H118" s="13">
        <f>E118+G118</f>
        <v>1290.0307516269754</v>
      </c>
      <c r="I118" s="86" t="s">
        <v>1201</v>
      </c>
    </row>
    <row r="119" spans="1:9" x14ac:dyDescent="0.3">
      <c r="A119" s="16" t="s">
        <v>1202</v>
      </c>
      <c r="B119" s="20"/>
      <c r="C119" s="20"/>
      <c r="D119" s="20"/>
      <c r="E119" s="88">
        <f>SUM(E114:E118)</f>
        <v>6437.9218934906066</v>
      </c>
      <c r="F119" s="20"/>
      <c r="G119" s="88">
        <f>SUM(G114:G118)</f>
        <v>4397.5427386867104</v>
      </c>
      <c r="H119" s="88">
        <f>SUM(H114:H118)</f>
        <v>10835.464632177316</v>
      </c>
      <c r="I119" s="20"/>
    </row>
    <row r="121" spans="1:9" x14ac:dyDescent="0.3">
      <c r="A121" s="4" t="s">
        <v>1203</v>
      </c>
      <c r="B121" s="5"/>
      <c r="C121" s="5"/>
      <c r="D121" s="5"/>
      <c r="E121" s="5"/>
      <c r="F121" s="5"/>
      <c r="G121" s="5"/>
      <c r="H121" s="5"/>
      <c r="I121" s="5"/>
    </row>
    <row r="122" spans="1:9" x14ac:dyDescent="0.3">
      <c r="A122" s="11" t="s">
        <v>417</v>
      </c>
      <c r="B122" s="11" t="s">
        <v>418</v>
      </c>
      <c r="C122" s="11" t="s">
        <v>419</v>
      </c>
      <c r="D122" s="11" t="s">
        <v>1097</v>
      </c>
      <c r="E122" s="11" t="s">
        <v>424</v>
      </c>
      <c r="F122" s="11" t="s">
        <v>1098</v>
      </c>
      <c r="G122" s="11" t="s">
        <v>425</v>
      </c>
      <c r="H122" s="11" t="s">
        <v>426</v>
      </c>
      <c r="I122" s="11" t="s">
        <v>28</v>
      </c>
    </row>
    <row r="123" spans="1:9" x14ac:dyDescent="0.3">
      <c r="A123" s="84" t="s">
        <v>1204</v>
      </c>
      <c r="B123" s="116">
        <f>ROUND(1*$B$20/$B$36,0)</f>
        <v>1</v>
      </c>
      <c r="C123" s="86" t="s">
        <v>147</v>
      </c>
      <c r="D123" s="76">
        <v>950</v>
      </c>
      <c r="E123" s="13">
        <f t="shared" ref="E123:E132" si="12">B123*D123</f>
        <v>950</v>
      </c>
      <c r="F123" s="117">
        <v>4</v>
      </c>
      <c r="G123" s="13">
        <f t="shared" ref="G123:G132" si="13">B123*F123*$B$6</f>
        <v>140</v>
      </c>
      <c r="H123" s="13">
        <f t="shared" ref="H123:H132" si="14">E123+G123</f>
        <v>1090</v>
      </c>
      <c r="I123" s="86" t="s">
        <v>1205</v>
      </c>
    </row>
    <row r="124" spans="1:9" x14ac:dyDescent="0.3">
      <c r="A124" s="84" t="s">
        <v>1206</v>
      </c>
      <c r="B124" s="116">
        <f>ROUND(7*$B$21/$B$37,0)</f>
        <v>7</v>
      </c>
      <c r="C124" s="86" t="s">
        <v>147</v>
      </c>
      <c r="D124" s="76">
        <v>680</v>
      </c>
      <c r="E124" s="13">
        <f t="shared" si="12"/>
        <v>4760</v>
      </c>
      <c r="F124" s="117">
        <v>2.5</v>
      </c>
      <c r="G124" s="13">
        <f t="shared" si="13"/>
        <v>612.5</v>
      </c>
      <c r="H124" s="13">
        <f t="shared" si="14"/>
        <v>5372.5</v>
      </c>
      <c r="I124" s="86" t="s">
        <v>1207</v>
      </c>
    </row>
    <row r="125" spans="1:9" x14ac:dyDescent="0.3">
      <c r="A125" s="84" t="s">
        <v>1208</v>
      </c>
      <c r="B125" s="116">
        <f>ROUND(4*$B$22/$B$38,0)</f>
        <v>4</v>
      </c>
      <c r="C125" s="86" t="s">
        <v>147</v>
      </c>
      <c r="D125" s="76">
        <v>420</v>
      </c>
      <c r="E125" s="13">
        <f t="shared" si="12"/>
        <v>1680</v>
      </c>
      <c r="F125" s="117">
        <v>2</v>
      </c>
      <c r="G125" s="13">
        <f t="shared" si="13"/>
        <v>280</v>
      </c>
      <c r="H125" s="13">
        <f t="shared" si="14"/>
        <v>1960</v>
      </c>
      <c r="I125" s="86" t="s">
        <v>1209</v>
      </c>
    </row>
    <row r="126" spans="1:9" x14ac:dyDescent="0.3">
      <c r="A126" s="84" t="s">
        <v>1210</v>
      </c>
      <c r="B126" s="116">
        <f>ROUND(1*$B$23/$B$39,0)</f>
        <v>1</v>
      </c>
      <c r="C126" s="86" t="s">
        <v>147</v>
      </c>
      <c r="D126" s="76">
        <v>240</v>
      </c>
      <c r="E126" s="13">
        <f t="shared" si="12"/>
        <v>240</v>
      </c>
      <c r="F126" s="117">
        <v>1.5</v>
      </c>
      <c r="G126" s="13">
        <f t="shared" si="13"/>
        <v>52.5</v>
      </c>
      <c r="H126" s="13">
        <f t="shared" si="14"/>
        <v>292.5</v>
      </c>
      <c r="I126" s="86" t="s">
        <v>1211</v>
      </c>
    </row>
    <row r="127" spans="1:9" x14ac:dyDescent="0.3">
      <c r="A127" s="84" t="s">
        <v>1212</v>
      </c>
      <c r="B127" s="116">
        <f>10*$B$8</f>
        <v>10</v>
      </c>
      <c r="C127" s="86" t="s">
        <v>147</v>
      </c>
      <c r="D127" s="76">
        <v>320</v>
      </c>
      <c r="E127" s="13">
        <f t="shared" si="12"/>
        <v>3200</v>
      </c>
      <c r="F127" s="117">
        <v>1.5</v>
      </c>
      <c r="G127" s="13">
        <f t="shared" si="13"/>
        <v>525</v>
      </c>
      <c r="H127" s="13">
        <f t="shared" si="14"/>
        <v>3725</v>
      </c>
      <c r="I127" s="86" t="s">
        <v>1213</v>
      </c>
    </row>
    <row r="128" spans="1:9" x14ac:dyDescent="0.3">
      <c r="A128" s="84" t="s">
        <v>1214</v>
      </c>
      <c r="B128" s="116">
        <f>ROUND(5*$B$24/$B$40,0)</f>
        <v>5</v>
      </c>
      <c r="C128" s="86" t="s">
        <v>147</v>
      </c>
      <c r="D128" s="76">
        <v>260</v>
      </c>
      <c r="E128" s="13">
        <f t="shared" si="12"/>
        <v>1300</v>
      </c>
      <c r="F128" s="117">
        <v>2</v>
      </c>
      <c r="G128" s="13">
        <f t="shared" si="13"/>
        <v>350</v>
      </c>
      <c r="H128" s="13">
        <f t="shared" si="14"/>
        <v>1650</v>
      </c>
      <c r="I128" s="86" t="s">
        <v>1215</v>
      </c>
    </row>
    <row r="129" spans="1:9" x14ac:dyDescent="0.3">
      <c r="A129" s="84" t="s">
        <v>1216</v>
      </c>
      <c r="B129" s="118">
        <v>1</v>
      </c>
      <c r="C129" s="86" t="s">
        <v>147</v>
      </c>
      <c r="D129" s="76">
        <v>190</v>
      </c>
      <c r="E129" s="13">
        <f t="shared" si="12"/>
        <v>190</v>
      </c>
      <c r="F129" s="117">
        <v>1.5</v>
      </c>
      <c r="G129" s="13">
        <f t="shared" si="13"/>
        <v>52.5</v>
      </c>
      <c r="H129" s="13">
        <f t="shared" si="14"/>
        <v>242.5</v>
      </c>
      <c r="I129" s="86"/>
    </row>
    <row r="130" spans="1:9" x14ac:dyDescent="0.3">
      <c r="A130" s="84" t="s">
        <v>1217</v>
      </c>
      <c r="B130" s="116">
        <f>ROUND(13*$B$25/$B$41,0)</f>
        <v>13</v>
      </c>
      <c r="C130" s="86" t="s">
        <v>1218</v>
      </c>
      <c r="D130" s="76">
        <v>60</v>
      </c>
      <c r="E130" s="13">
        <f t="shared" si="12"/>
        <v>780</v>
      </c>
      <c r="F130" s="117">
        <v>1.5</v>
      </c>
      <c r="G130" s="13">
        <f t="shared" si="13"/>
        <v>682.5</v>
      </c>
      <c r="H130" s="13">
        <f t="shared" si="14"/>
        <v>1462.5</v>
      </c>
      <c r="I130" s="86" t="s">
        <v>1219</v>
      </c>
    </row>
    <row r="131" spans="1:9" x14ac:dyDescent="0.3">
      <c r="A131" s="84" t="s">
        <v>1220</v>
      </c>
      <c r="B131" s="116">
        <f>ROUND(1*$B$20/$B$36,0)</f>
        <v>1</v>
      </c>
      <c r="C131" s="86" t="s">
        <v>147</v>
      </c>
      <c r="D131" s="76">
        <v>0</v>
      </c>
      <c r="E131" s="13">
        <f t="shared" si="12"/>
        <v>0</v>
      </c>
      <c r="F131" s="117">
        <v>0</v>
      </c>
      <c r="G131" s="13">
        <f t="shared" si="13"/>
        <v>0</v>
      </c>
      <c r="H131" s="13">
        <f t="shared" si="14"/>
        <v>0</v>
      </c>
      <c r="I131" s="86" t="s">
        <v>1221</v>
      </c>
    </row>
    <row r="132" spans="1:9" x14ac:dyDescent="0.3">
      <c r="A132" s="84" t="s">
        <v>1222</v>
      </c>
      <c r="B132" s="118">
        <v>1</v>
      </c>
      <c r="C132" s="86" t="s">
        <v>1135</v>
      </c>
      <c r="D132" s="76">
        <v>0</v>
      </c>
      <c r="E132" s="13">
        <f t="shared" si="12"/>
        <v>0</v>
      </c>
      <c r="F132" s="117">
        <v>0</v>
      </c>
      <c r="G132" s="13">
        <f t="shared" si="13"/>
        <v>0</v>
      </c>
      <c r="H132" s="13">
        <f t="shared" si="14"/>
        <v>0</v>
      </c>
      <c r="I132" s="86" t="s">
        <v>1223</v>
      </c>
    </row>
    <row r="133" spans="1:9" x14ac:dyDescent="0.3">
      <c r="A133" s="16" t="s">
        <v>1224</v>
      </c>
      <c r="B133" s="20"/>
      <c r="C133" s="20"/>
      <c r="D133" s="20"/>
      <c r="E133" s="88">
        <f>SUM(E123:E132)</f>
        <v>13100</v>
      </c>
      <c r="F133" s="20"/>
      <c r="G133" s="88">
        <f>SUM(G123:G132)</f>
        <v>2695</v>
      </c>
      <c r="H133" s="88">
        <f>SUM(H123:H132)</f>
        <v>15795</v>
      </c>
      <c r="I133" s="20"/>
    </row>
    <row r="135" spans="1:9" x14ac:dyDescent="0.3">
      <c r="A135" s="4" t="s">
        <v>1225</v>
      </c>
      <c r="B135" s="5"/>
      <c r="C135" s="5"/>
      <c r="D135" s="5"/>
      <c r="E135" s="5"/>
      <c r="F135" s="5"/>
      <c r="G135" s="5"/>
      <c r="H135" s="5"/>
      <c r="I135" s="5"/>
    </row>
    <row r="136" spans="1:9" x14ac:dyDescent="0.3">
      <c r="A136" s="11" t="s">
        <v>417</v>
      </c>
      <c r="B136" s="11" t="s">
        <v>418</v>
      </c>
      <c r="C136" s="11" t="s">
        <v>419</v>
      </c>
      <c r="D136" s="11" t="s">
        <v>1097</v>
      </c>
      <c r="E136" s="11" t="s">
        <v>424</v>
      </c>
      <c r="F136" s="11" t="s">
        <v>1098</v>
      </c>
      <c r="G136" s="11" t="s">
        <v>425</v>
      </c>
      <c r="H136" s="11" t="s">
        <v>426</v>
      </c>
      <c r="I136" s="11" t="s">
        <v>28</v>
      </c>
    </row>
    <row r="137" spans="1:9" x14ac:dyDescent="0.3">
      <c r="A137" s="84" t="s">
        <v>1226</v>
      </c>
      <c r="B137" s="103">
        <f>1148*$B$10/$B$30</f>
        <v>1180.3333333333335</v>
      </c>
      <c r="C137" s="86" t="s">
        <v>302</v>
      </c>
      <c r="D137" s="76">
        <v>0.9</v>
      </c>
      <c r="E137" s="13">
        <f>B137*D137</f>
        <v>1062.3000000000002</v>
      </c>
      <c r="F137" s="117">
        <v>0.03</v>
      </c>
      <c r="G137" s="13">
        <f>B137*F137*$B$6</f>
        <v>1239.3500000000001</v>
      </c>
      <c r="H137" s="13">
        <f>E137+G137</f>
        <v>2301.6500000000005</v>
      </c>
      <c r="I137" s="86" t="s">
        <v>1227</v>
      </c>
    </row>
    <row r="138" spans="1:9" x14ac:dyDescent="0.3">
      <c r="A138" s="84" t="s">
        <v>1228</v>
      </c>
      <c r="B138" s="103">
        <f>1066*$B$9/$B$29</f>
        <v>1066.333333333333</v>
      </c>
      <c r="C138" s="86" t="s">
        <v>302</v>
      </c>
      <c r="D138" s="76">
        <v>0.5</v>
      </c>
      <c r="E138" s="13">
        <f>B138*D138</f>
        <v>533.16666666666652</v>
      </c>
      <c r="F138" s="117">
        <v>0.02</v>
      </c>
      <c r="G138" s="13">
        <f>B138*F138*$B$6</f>
        <v>746.43333333333317</v>
      </c>
      <c r="H138" s="13">
        <f>E138+G138</f>
        <v>1279.5999999999997</v>
      </c>
      <c r="I138" s="86" t="s">
        <v>1229</v>
      </c>
    </row>
    <row r="139" spans="1:9" x14ac:dyDescent="0.3">
      <c r="A139" s="84" t="s">
        <v>1230</v>
      </c>
      <c r="B139" s="103">
        <f>60*$B$26/$B$42</f>
        <v>60</v>
      </c>
      <c r="C139" s="86" t="s">
        <v>299</v>
      </c>
      <c r="D139" s="76">
        <v>32</v>
      </c>
      <c r="E139" s="13">
        <f>B139*D139</f>
        <v>1920</v>
      </c>
      <c r="F139" s="117">
        <v>1.2</v>
      </c>
      <c r="G139" s="13">
        <f>B139*F139*$B$6</f>
        <v>2520</v>
      </c>
      <c r="H139" s="13">
        <f>E139+G139</f>
        <v>4440</v>
      </c>
      <c r="I139" s="86" t="s">
        <v>1231</v>
      </c>
    </row>
    <row r="140" spans="1:9" x14ac:dyDescent="0.3">
      <c r="A140" s="84" t="s">
        <v>1232</v>
      </c>
      <c r="B140" s="116">
        <f>ROUND(2*$B$18/$B$34,0)</f>
        <v>2</v>
      </c>
      <c r="C140" s="86" t="s">
        <v>1233</v>
      </c>
      <c r="D140" s="76">
        <v>220</v>
      </c>
      <c r="E140" s="13">
        <f>B140*D140</f>
        <v>440</v>
      </c>
      <c r="F140" s="117">
        <v>2</v>
      </c>
      <c r="G140" s="13">
        <f>B140*F140*$B$6</f>
        <v>140</v>
      </c>
      <c r="H140" s="13">
        <f>E140+G140</f>
        <v>580</v>
      </c>
      <c r="I140" s="86" t="s">
        <v>1234</v>
      </c>
    </row>
    <row r="141" spans="1:9" x14ac:dyDescent="0.3">
      <c r="A141" s="16" t="s">
        <v>1235</v>
      </c>
      <c r="B141" s="20"/>
      <c r="C141" s="20"/>
      <c r="D141" s="20"/>
      <c r="E141" s="88">
        <f>SUM(E137:E140)</f>
        <v>3955.4666666666667</v>
      </c>
      <c r="F141" s="20"/>
      <c r="G141" s="88">
        <f>SUM(G137:G140)</f>
        <v>4645.7833333333328</v>
      </c>
      <c r="H141" s="88">
        <f>SUM(H137:H140)</f>
        <v>8601.25</v>
      </c>
      <c r="I141" s="20"/>
    </row>
    <row r="143" spans="1:9" x14ac:dyDescent="0.3">
      <c r="A143" s="4" t="s">
        <v>1236</v>
      </c>
      <c r="B143" s="5"/>
      <c r="C143" s="5"/>
      <c r="D143" s="5"/>
      <c r="E143" s="5"/>
      <c r="F143" s="5"/>
      <c r="G143" s="5"/>
      <c r="H143" s="5"/>
      <c r="I143" s="5"/>
    </row>
    <row r="144" spans="1:9" x14ac:dyDescent="0.3">
      <c r="A144" s="11" t="s">
        <v>417</v>
      </c>
      <c r="B144" s="11" t="s">
        <v>418</v>
      </c>
      <c r="C144" s="11" t="s">
        <v>419</v>
      </c>
      <c r="D144" s="11" t="s">
        <v>1097</v>
      </c>
      <c r="E144" s="11" t="s">
        <v>424</v>
      </c>
      <c r="F144" s="11" t="s">
        <v>1098</v>
      </c>
      <c r="G144" s="11" t="s">
        <v>425</v>
      </c>
      <c r="H144" s="11" t="s">
        <v>426</v>
      </c>
      <c r="I144" s="11" t="s">
        <v>28</v>
      </c>
    </row>
    <row r="145" spans="1:9" x14ac:dyDescent="0.3">
      <c r="A145" s="84" t="s">
        <v>1237</v>
      </c>
      <c r="B145" s="103">
        <f>1148*$B$10/$B$30</f>
        <v>1180.3333333333335</v>
      </c>
      <c r="C145" s="86" t="s">
        <v>302</v>
      </c>
      <c r="D145" s="76">
        <v>0</v>
      </c>
      <c r="E145" s="13">
        <f t="shared" ref="E145:E154" si="15">B145*D145</f>
        <v>0</v>
      </c>
      <c r="F145" s="117">
        <v>0</v>
      </c>
      <c r="G145" s="13">
        <f t="shared" ref="G145:G150" si="16">B145*F145*$B$6</f>
        <v>0</v>
      </c>
      <c r="H145" s="13">
        <f t="shared" ref="H145:H154" si="17">E145+G145</f>
        <v>0</v>
      </c>
      <c r="I145" s="86" t="s">
        <v>1238</v>
      </c>
    </row>
    <row r="146" spans="1:9" x14ac:dyDescent="0.3">
      <c r="A146" s="84" t="s">
        <v>1239</v>
      </c>
      <c r="B146" s="103">
        <f>1148*$B$10/$B$30</f>
        <v>1180.3333333333335</v>
      </c>
      <c r="C146" s="86" t="s">
        <v>302</v>
      </c>
      <c r="D146" s="76">
        <v>0</v>
      </c>
      <c r="E146" s="13">
        <f t="shared" si="15"/>
        <v>0</v>
      </c>
      <c r="F146" s="117">
        <v>0</v>
      </c>
      <c r="G146" s="13">
        <f t="shared" si="16"/>
        <v>0</v>
      </c>
      <c r="H146" s="13">
        <f t="shared" si="17"/>
        <v>0</v>
      </c>
      <c r="I146" s="86" t="s">
        <v>1240</v>
      </c>
    </row>
    <row r="147" spans="1:9" x14ac:dyDescent="0.3">
      <c r="A147" s="84" t="s">
        <v>1241</v>
      </c>
      <c r="B147" s="103">
        <f>1387.29*$B$16/$B$32</f>
        <v>1387.2920420983621</v>
      </c>
      <c r="C147" s="86" t="s">
        <v>302</v>
      </c>
      <c r="D147" s="76">
        <v>0</v>
      </c>
      <c r="E147" s="13">
        <f t="shared" si="15"/>
        <v>0</v>
      </c>
      <c r="F147" s="117">
        <v>0</v>
      </c>
      <c r="G147" s="13">
        <f t="shared" si="16"/>
        <v>0</v>
      </c>
      <c r="H147" s="13">
        <f t="shared" si="17"/>
        <v>0</v>
      </c>
      <c r="I147" s="86" t="s">
        <v>1242</v>
      </c>
    </row>
    <row r="148" spans="1:9" x14ac:dyDescent="0.3">
      <c r="A148" s="84" t="s">
        <v>1243</v>
      </c>
      <c r="B148" s="103">
        <f>139.83*$B$15/$B$31</f>
        <v>139.83333333333334</v>
      </c>
      <c r="C148" s="86" t="s">
        <v>299</v>
      </c>
      <c r="D148" s="76">
        <v>0</v>
      </c>
      <c r="E148" s="13">
        <f t="shared" si="15"/>
        <v>0</v>
      </c>
      <c r="F148" s="117">
        <v>0</v>
      </c>
      <c r="G148" s="13">
        <f t="shared" si="16"/>
        <v>0</v>
      </c>
      <c r="H148" s="13">
        <f t="shared" si="17"/>
        <v>0</v>
      </c>
      <c r="I148" s="86" t="s">
        <v>1244</v>
      </c>
    </row>
    <row r="149" spans="1:9" x14ac:dyDescent="0.3">
      <c r="A149" s="84" t="s">
        <v>1245</v>
      </c>
      <c r="B149" s="103">
        <f>42*$B$15/$B$31</f>
        <v>42.001001215761995</v>
      </c>
      <c r="C149" s="86" t="s">
        <v>299</v>
      </c>
      <c r="D149" s="76">
        <v>9</v>
      </c>
      <c r="E149" s="13">
        <f t="shared" si="15"/>
        <v>378.00901094185798</v>
      </c>
      <c r="F149" s="117">
        <v>0.2</v>
      </c>
      <c r="G149" s="13">
        <f t="shared" si="16"/>
        <v>294.007008510334</v>
      </c>
      <c r="H149" s="13">
        <f t="shared" si="17"/>
        <v>672.01601945219204</v>
      </c>
      <c r="I149" s="86" t="s">
        <v>1246</v>
      </c>
    </row>
    <row r="150" spans="1:9" x14ac:dyDescent="0.3">
      <c r="A150" s="84" t="s">
        <v>1247</v>
      </c>
      <c r="B150" s="116">
        <f>ROUND(1*$B$20/$B$36,0)</f>
        <v>1</v>
      </c>
      <c r="C150" s="86" t="s">
        <v>147</v>
      </c>
      <c r="D150" s="76">
        <v>400</v>
      </c>
      <c r="E150" s="13">
        <f t="shared" si="15"/>
        <v>400</v>
      </c>
      <c r="F150" s="117">
        <v>10</v>
      </c>
      <c r="G150" s="13">
        <f t="shared" si="16"/>
        <v>350</v>
      </c>
      <c r="H150" s="13">
        <f t="shared" si="17"/>
        <v>750</v>
      </c>
      <c r="I150" s="86" t="s">
        <v>1248</v>
      </c>
    </row>
    <row r="151" spans="1:9" x14ac:dyDescent="0.3">
      <c r="A151" s="84" t="s">
        <v>1249</v>
      </c>
      <c r="B151" s="116">
        <f>1*$B$9/$B$29</f>
        <v>1.0003126954346464</v>
      </c>
      <c r="C151" s="86" t="s">
        <v>1135</v>
      </c>
      <c r="D151" s="76">
        <v>800</v>
      </c>
      <c r="E151" s="13">
        <f t="shared" si="15"/>
        <v>800.25015634771717</v>
      </c>
      <c r="F151" s="119">
        <v>3200</v>
      </c>
      <c r="G151" s="13">
        <f>B151*F151</f>
        <v>3201.0006253908687</v>
      </c>
      <c r="H151" s="13">
        <f t="shared" si="17"/>
        <v>4001.2507817385858</v>
      </c>
      <c r="I151" s="86" t="s">
        <v>1250</v>
      </c>
    </row>
    <row r="152" spans="1:9" x14ac:dyDescent="0.3">
      <c r="A152" s="84" t="s">
        <v>1251</v>
      </c>
      <c r="B152" s="118">
        <v>1</v>
      </c>
      <c r="C152" s="86" t="s">
        <v>1135</v>
      </c>
      <c r="D152" s="76">
        <v>4500</v>
      </c>
      <c r="E152" s="13">
        <f t="shared" si="15"/>
        <v>4500</v>
      </c>
      <c r="F152" s="119">
        <v>3500</v>
      </c>
      <c r="G152" s="13">
        <f>B152*F152</f>
        <v>3500</v>
      </c>
      <c r="H152" s="13">
        <f t="shared" si="17"/>
        <v>8000</v>
      </c>
      <c r="I152" s="86" t="s">
        <v>1252</v>
      </c>
    </row>
    <row r="153" spans="1:9" x14ac:dyDescent="0.3">
      <c r="A153" s="84" t="s">
        <v>1253</v>
      </c>
      <c r="B153" s="116">
        <f>ROUND(4*$B$17/$B$33,0)</f>
        <v>4</v>
      </c>
      <c r="C153" s="86" t="s">
        <v>699</v>
      </c>
      <c r="D153" s="76">
        <v>450</v>
      </c>
      <c r="E153" s="13">
        <f t="shared" si="15"/>
        <v>1800</v>
      </c>
      <c r="F153" s="117">
        <v>0</v>
      </c>
      <c r="G153" s="13">
        <f>B153*F153*$B$6</f>
        <v>0</v>
      </c>
      <c r="H153" s="13">
        <f t="shared" si="17"/>
        <v>1800</v>
      </c>
      <c r="I153" s="86" t="s">
        <v>1254</v>
      </c>
    </row>
    <row r="154" spans="1:9" x14ac:dyDescent="0.3">
      <c r="A154" s="84" t="s">
        <v>1255</v>
      </c>
      <c r="B154" s="118">
        <v>1</v>
      </c>
      <c r="C154" s="86" t="s">
        <v>1135</v>
      </c>
      <c r="D154" s="76">
        <v>1200</v>
      </c>
      <c r="E154" s="13">
        <f t="shared" si="15"/>
        <v>1200</v>
      </c>
      <c r="F154" s="117">
        <v>16</v>
      </c>
      <c r="G154" s="13">
        <f>B154*F154*$B$6</f>
        <v>560</v>
      </c>
      <c r="H154" s="13">
        <f t="shared" si="17"/>
        <v>1760</v>
      </c>
      <c r="I154" s="86"/>
    </row>
    <row r="155" spans="1:9" x14ac:dyDescent="0.3">
      <c r="A155" s="16" t="s">
        <v>1256</v>
      </c>
      <c r="B155" s="20"/>
      <c r="C155" s="20"/>
      <c r="D155" s="20"/>
      <c r="E155" s="88">
        <f>SUM(E145:E154)</f>
        <v>9078.259167289576</v>
      </c>
      <c r="F155" s="20"/>
      <c r="G155" s="88">
        <f>SUM(G145:G154)</f>
        <v>7905.007633901203</v>
      </c>
      <c r="H155" s="88">
        <f>SUM(H145:H154)</f>
        <v>16983.266801190777</v>
      </c>
      <c r="I155" s="20"/>
    </row>
    <row r="157" spans="1:9" x14ac:dyDescent="0.3">
      <c r="A157" s="4" t="s">
        <v>1257</v>
      </c>
      <c r="B157" s="5"/>
      <c r="C157" s="5"/>
      <c r="D157" s="5"/>
      <c r="E157" s="5"/>
      <c r="F157" s="5"/>
      <c r="G157" s="5"/>
      <c r="H157" s="5"/>
      <c r="I157" s="5"/>
    </row>
    <row r="158" spans="1:9" x14ac:dyDescent="0.3">
      <c r="A158" s="11" t="s">
        <v>417</v>
      </c>
      <c r="B158" s="11" t="s">
        <v>418</v>
      </c>
      <c r="C158" s="11" t="s">
        <v>419</v>
      </c>
      <c r="D158" s="11" t="s">
        <v>1097</v>
      </c>
      <c r="E158" s="11" t="s">
        <v>424</v>
      </c>
      <c r="F158" s="11" t="s">
        <v>1098</v>
      </c>
      <c r="G158" s="11" t="s">
        <v>425</v>
      </c>
      <c r="H158" s="11" t="s">
        <v>426</v>
      </c>
      <c r="I158" s="11" t="s">
        <v>28</v>
      </c>
    </row>
    <row r="159" spans="1:9" x14ac:dyDescent="0.3">
      <c r="A159" s="84" t="s">
        <v>1258</v>
      </c>
      <c r="B159" s="118">
        <v>1</v>
      </c>
      <c r="C159" s="86" t="s">
        <v>1135</v>
      </c>
      <c r="D159" s="76">
        <v>6500</v>
      </c>
      <c r="E159" s="13">
        <f>B159*D159</f>
        <v>6500</v>
      </c>
      <c r="F159" s="117">
        <v>0</v>
      </c>
      <c r="G159" s="13">
        <f>B159*F159*$B$6</f>
        <v>0</v>
      </c>
      <c r="H159" s="13">
        <f>E159+G159</f>
        <v>6500</v>
      </c>
      <c r="I159" s="86" t="s">
        <v>1259</v>
      </c>
    </row>
    <row r="160" spans="1:9" x14ac:dyDescent="0.3">
      <c r="A160" s="84" t="s">
        <v>1260</v>
      </c>
      <c r="B160" s="118">
        <v>1</v>
      </c>
      <c r="C160" s="86" t="s">
        <v>1135</v>
      </c>
      <c r="D160" s="76">
        <v>2500</v>
      </c>
      <c r="E160" s="13">
        <f>B160*D160</f>
        <v>2500</v>
      </c>
      <c r="F160" s="117">
        <v>0</v>
      </c>
      <c r="G160" s="13">
        <f>B160*F160*$B$6</f>
        <v>0</v>
      </c>
      <c r="H160" s="13">
        <f>E160+G160</f>
        <v>2500</v>
      </c>
      <c r="I160" s="86" t="s">
        <v>1261</v>
      </c>
    </row>
    <row r="161" spans="1:9" x14ac:dyDescent="0.3">
      <c r="A161" s="84" t="s">
        <v>1262</v>
      </c>
      <c r="B161" s="118">
        <v>1</v>
      </c>
      <c r="C161" s="86" t="s">
        <v>1135</v>
      </c>
      <c r="D161" s="76">
        <v>1200</v>
      </c>
      <c r="E161" s="13">
        <f>B161*D161</f>
        <v>1200</v>
      </c>
      <c r="F161" s="117">
        <v>0</v>
      </c>
      <c r="G161" s="13">
        <f>B161*F161*$B$6</f>
        <v>0</v>
      </c>
      <c r="H161" s="13">
        <f>E161+G161</f>
        <v>1200</v>
      </c>
      <c r="I161" s="86"/>
    </row>
    <row r="162" spans="1:9" x14ac:dyDescent="0.3">
      <c r="A162" s="84" t="s">
        <v>1263</v>
      </c>
      <c r="B162" s="116">
        <f>1*$B$9/$B$29</f>
        <v>1.0003126954346464</v>
      </c>
      <c r="C162" s="86" t="s">
        <v>1135</v>
      </c>
      <c r="D162" s="76">
        <v>0</v>
      </c>
      <c r="E162" s="13">
        <f>B162*D162</f>
        <v>0</v>
      </c>
      <c r="F162" s="117">
        <v>120</v>
      </c>
      <c r="G162" s="13">
        <f>B162*F162*$B$6</f>
        <v>4201.3133208255149</v>
      </c>
      <c r="H162" s="13">
        <f>E162+G162</f>
        <v>4201.3133208255149</v>
      </c>
      <c r="I162" s="86" t="s">
        <v>1264</v>
      </c>
    </row>
    <row r="163" spans="1:9" x14ac:dyDescent="0.3">
      <c r="A163" s="16" t="s">
        <v>1265</v>
      </c>
      <c r="B163" s="20"/>
      <c r="C163" s="20"/>
      <c r="D163" s="20"/>
      <c r="E163" s="88">
        <f>SUM(E159:E162)</f>
        <v>10200</v>
      </c>
      <c r="F163" s="20"/>
      <c r="G163" s="88">
        <f>SUM(G159:G162)</f>
        <v>4201.3133208255149</v>
      </c>
      <c r="H163" s="88">
        <f>SUM(H159:H162)</f>
        <v>14401.313320825515</v>
      </c>
      <c r="I163" s="20"/>
    </row>
    <row r="165" spans="1:9" x14ac:dyDescent="0.3">
      <c r="A165" s="90" t="s">
        <v>1266</v>
      </c>
      <c r="B165" s="91"/>
      <c r="C165" s="91"/>
      <c r="D165" s="91"/>
      <c r="E165" s="92">
        <f>$E$57+$E$69+$E$79+$E$89+$E$102+$E$110+$E$119+$E$133+$E$141+$E$155+$E$163</f>
        <v>82873.273743707017</v>
      </c>
      <c r="F165" s="91"/>
      <c r="G165" s="92">
        <f>$G$57+$G$69+$G$79+$G$89+$G$102+$G$110+$G$119+$G$133+$G$141+$G$155+$G$163</f>
        <v>41359.83495670298</v>
      </c>
      <c r="H165" s="92">
        <f>$H$57+$H$69+$H$79+$H$89+$H$102+$H$110+$H$119+$H$133+$H$141+$H$155+$H$163</f>
        <v>124233.10870041</v>
      </c>
      <c r="I165" s="91"/>
    </row>
    <row r="166" spans="1:9" x14ac:dyDescent="0.3">
      <c r="A166" s="2" t="s">
        <v>1267</v>
      </c>
    </row>
    <row r="167" spans="1:9" x14ac:dyDescent="0.3">
      <c r="A167" s="2" t="s">
        <v>1268</v>
      </c>
    </row>
  </sheetData>
  <mergeCells count="1">
    <mergeCell ref="A2:J2"/>
  </mergeCells>
  <dataValidations count="2">
    <dataValidation type="list" sqref="B82" xr:uid="{00000000-0002-0000-0500-000000000000}">
      <formula1>"A,B,C"</formula1>
    </dataValidation>
    <dataValidation type="list" sqref="B83" xr:uid="{00000000-0002-0000-0500-000001000000}">
      <formula1>"yes,no"</formula1>
    </dataValidation>
  </dataValidations>
  <hyperlinks>
    <hyperlink ref="A3" location="'Summary'!A1" display="← Summary" xr:uid="{00000000-0004-0000-0500-000000000000}"/>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workbookViewId="0"/>
  </sheetViews>
  <sheetFormatPr defaultRowHeight="14.4" x14ac:dyDescent="0.3"/>
  <cols>
    <col min="1" max="1" width="46" customWidth="1"/>
    <col min="2" max="2" width="16" customWidth="1"/>
    <col min="3" max="3" width="10" customWidth="1"/>
    <col min="4" max="4" width="16" customWidth="1"/>
    <col min="5" max="5" width="12" customWidth="1"/>
    <col min="6" max="6" width="70" customWidth="1"/>
  </cols>
  <sheetData>
    <row r="1" spans="1:6" ht="17.399999999999999" x14ac:dyDescent="0.3">
      <c r="A1" s="60" t="s">
        <v>1269</v>
      </c>
    </row>
    <row r="2" spans="1:6" x14ac:dyDescent="0.3">
      <c r="A2" s="2" t="s">
        <v>1270</v>
      </c>
    </row>
    <row r="3" spans="1:6" x14ac:dyDescent="0.3">
      <c r="A3" s="3" t="s">
        <v>127</v>
      </c>
    </row>
    <row r="5" spans="1:6" x14ac:dyDescent="0.3">
      <c r="A5" s="11" t="s">
        <v>417</v>
      </c>
      <c r="B5" s="11" t="s">
        <v>1271</v>
      </c>
      <c r="C5" s="11" t="s">
        <v>419</v>
      </c>
      <c r="D5" s="11" t="s">
        <v>1272</v>
      </c>
      <c r="E5" s="11" t="s">
        <v>1273</v>
      </c>
      <c r="F5" s="11" t="s">
        <v>564</v>
      </c>
    </row>
    <row r="6" spans="1:6" x14ac:dyDescent="0.3">
      <c r="A6" s="21" t="s">
        <v>89</v>
      </c>
      <c r="B6" s="21">
        <v>34</v>
      </c>
      <c r="C6" s="2" t="s">
        <v>147</v>
      </c>
      <c r="D6" s="121">
        <f>Walls!$B$103</f>
        <v>34</v>
      </c>
      <c r="E6" s="122">
        <f>D6-B6</f>
        <v>0</v>
      </c>
      <c r="F6" s="2" t="s">
        <v>1274</v>
      </c>
    </row>
    <row r="7" spans="1:6" x14ac:dyDescent="0.3">
      <c r="A7" s="21" t="s">
        <v>1275</v>
      </c>
      <c r="B7" s="21" t="s">
        <v>1276</v>
      </c>
      <c r="C7" s="2" t="s">
        <v>147</v>
      </c>
      <c r="F7" s="2" t="s">
        <v>1277</v>
      </c>
    </row>
    <row r="8" spans="1:6" x14ac:dyDescent="0.3">
      <c r="A8" s="21" t="s">
        <v>1278</v>
      </c>
      <c r="B8" s="21">
        <v>10</v>
      </c>
      <c r="C8" s="2" t="s">
        <v>147</v>
      </c>
      <c r="D8" s="121">
        <f>Walls!$B$44</f>
        <v>10</v>
      </c>
      <c r="E8" s="122">
        <f>D8-B8</f>
        <v>0</v>
      </c>
      <c r="F8" s="2" t="s">
        <v>1279</v>
      </c>
    </row>
    <row r="9" spans="1:6" x14ac:dyDescent="0.3">
      <c r="A9" s="21" t="s">
        <v>1280</v>
      </c>
      <c r="B9" s="21" t="s">
        <v>1281</v>
      </c>
      <c r="C9" s="2" t="s">
        <v>152</v>
      </c>
      <c r="F9" s="2" t="s">
        <v>1282</v>
      </c>
    </row>
    <row r="10" spans="1:6" x14ac:dyDescent="0.3">
      <c r="A10" s="21" t="s">
        <v>792</v>
      </c>
      <c r="B10" s="21">
        <v>150</v>
      </c>
      <c r="C10" s="2" t="s">
        <v>152</v>
      </c>
      <c r="D10" s="121">
        <f>Walls!$B$20</f>
        <v>150</v>
      </c>
      <c r="E10" s="122">
        <f t="shared" ref="E10:E48" si="0">D10-B10</f>
        <v>0</v>
      </c>
      <c r="F10" s="2" t="s">
        <v>1283</v>
      </c>
    </row>
    <row r="11" spans="1:6" x14ac:dyDescent="0.3">
      <c r="A11" s="21" t="s">
        <v>295</v>
      </c>
      <c r="B11" s="21">
        <v>480</v>
      </c>
      <c r="C11" s="2" t="s">
        <v>152</v>
      </c>
      <c r="D11" s="121">
        <f>Walls!$B$113</f>
        <v>480</v>
      </c>
      <c r="E11" s="122">
        <f t="shared" si="0"/>
        <v>0</v>
      </c>
      <c r="F11" s="2"/>
    </row>
    <row r="12" spans="1:6" x14ac:dyDescent="0.3">
      <c r="A12" s="21" t="s">
        <v>296</v>
      </c>
      <c r="B12" s="21">
        <v>359</v>
      </c>
      <c r="C12" s="2" t="s">
        <v>152</v>
      </c>
      <c r="D12" s="121">
        <f>Walls!$B$114</f>
        <v>359</v>
      </c>
      <c r="E12" s="122">
        <f t="shared" si="0"/>
        <v>0</v>
      </c>
      <c r="F12" s="2" t="s">
        <v>1284</v>
      </c>
    </row>
    <row r="13" spans="1:6" x14ac:dyDescent="0.3">
      <c r="A13" s="21" t="s">
        <v>291</v>
      </c>
      <c r="B13" s="21">
        <v>11.5</v>
      </c>
      <c r="C13" s="2" t="s">
        <v>152</v>
      </c>
      <c r="D13" s="121">
        <f>Walls!$B$111</f>
        <v>11.5</v>
      </c>
      <c r="E13" s="122">
        <f t="shared" si="0"/>
        <v>0</v>
      </c>
      <c r="F13" s="2" t="s">
        <v>1285</v>
      </c>
    </row>
    <row r="14" spans="1:6" x14ac:dyDescent="0.3">
      <c r="A14" s="21" t="s">
        <v>304</v>
      </c>
      <c r="B14" s="21">
        <v>1460</v>
      </c>
      <c r="C14" s="2" t="s">
        <v>302</v>
      </c>
      <c r="D14" s="121">
        <f>Walls!$B$118</f>
        <v>1460</v>
      </c>
      <c r="E14" s="122">
        <f t="shared" si="0"/>
        <v>0</v>
      </c>
      <c r="F14" s="2" t="s">
        <v>1286</v>
      </c>
    </row>
    <row r="15" spans="1:6" x14ac:dyDescent="0.3">
      <c r="A15" s="21" t="s">
        <v>1287</v>
      </c>
      <c r="B15" s="21">
        <v>279.66699999999997</v>
      </c>
      <c r="C15" s="2" t="s">
        <v>302</v>
      </c>
      <c r="D15" s="121">
        <f>Walls!$B$119</f>
        <v>279.66666666666663</v>
      </c>
      <c r="E15" s="122">
        <f t="shared" si="0"/>
        <v>-3.3333333334439885E-4</v>
      </c>
      <c r="F15" s="2" t="s">
        <v>1288</v>
      </c>
    </row>
    <row r="16" spans="1:6" x14ac:dyDescent="0.3">
      <c r="A16" s="21" t="s">
        <v>1289</v>
      </c>
      <c r="B16" s="21">
        <v>1180.3330000000001</v>
      </c>
      <c r="C16" s="2" t="s">
        <v>302</v>
      </c>
      <c r="D16" s="121">
        <f>Walls!$B$120</f>
        <v>1180.3333333333335</v>
      </c>
      <c r="E16" s="122">
        <f t="shared" si="0"/>
        <v>3.3333333340124227E-4</v>
      </c>
      <c r="F16" s="2"/>
    </row>
    <row r="17" spans="1:6" x14ac:dyDescent="0.3">
      <c r="A17" s="21" t="s">
        <v>1290</v>
      </c>
      <c r="B17" s="21">
        <v>18.215</v>
      </c>
      <c r="C17" s="2" t="s">
        <v>395</v>
      </c>
      <c r="D17" s="121">
        <f>Walls!$B$279</f>
        <v>18.215020576131693</v>
      </c>
      <c r="E17" s="122">
        <f t="shared" si="0"/>
        <v>2.0576131692706667E-5</v>
      </c>
      <c r="F17" s="2" t="s">
        <v>1291</v>
      </c>
    </row>
    <row r="18" spans="1:6" x14ac:dyDescent="0.3">
      <c r="A18" s="21" t="s">
        <v>1292</v>
      </c>
      <c r="B18" s="21">
        <v>7.2859999999999996</v>
      </c>
      <c r="C18" s="2" t="s">
        <v>395</v>
      </c>
      <c r="D18" s="121">
        <f>Walls!$B$280</f>
        <v>7.2860082304526763</v>
      </c>
      <c r="E18" s="122">
        <f t="shared" si="0"/>
        <v>8.2304526767273956E-6</v>
      </c>
      <c r="F18" s="2" t="s">
        <v>1293</v>
      </c>
    </row>
    <row r="19" spans="1:6" x14ac:dyDescent="0.3">
      <c r="A19" s="21" t="s">
        <v>1294</v>
      </c>
      <c r="B19" s="21">
        <v>16.393999999999998</v>
      </c>
      <c r="C19" s="2" t="s">
        <v>395</v>
      </c>
      <c r="D19" s="121">
        <f>Walls!$B$281</f>
        <v>16.393518518518519</v>
      </c>
      <c r="E19" s="122">
        <f t="shared" si="0"/>
        <v>-4.8148148147930669E-4</v>
      </c>
      <c r="F19" s="2" t="s">
        <v>1295</v>
      </c>
    </row>
    <row r="20" spans="1:6" x14ac:dyDescent="0.3">
      <c r="A20" s="21" t="s">
        <v>1296</v>
      </c>
      <c r="B20" s="21">
        <v>41.895000000000003</v>
      </c>
      <c r="C20" s="2" t="s">
        <v>395</v>
      </c>
      <c r="D20" s="121">
        <f>Walls!$B$282</f>
        <v>41.894547325102891</v>
      </c>
      <c r="E20" s="122">
        <f t="shared" si="0"/>
        <v>-4.5267489711164899E-4</v>
      </c>
      <c r="F20" s="2" t="s">
        <v>1297</v>
      </c>
    </row>
    <row r="21" spans="1:6" x14ac:dyDescent="0.3">
      <c r="A21" s="21" t="s">
        <v>1298</v>
      </c>
      <c r="B21" s="21">
        <v>106</v>
      </c>
      <c r="C21" s="2" t="s">
        <v>147</v>
      </c>
      <c r="D21" s="121">
        <f>Walls!$B$258</f>
        <v>106</v>
      </c>
      <c r="E21" s="122">
        <f t="shared" si="0"/>
        <v>0</v>
      </c>
      <c r="F21" s="2" t="s">
        <v>1299</v>
      </c>
    </row>
    <row r="22" spans="1:6" x14ac:dyDescent="0.3">
      <c r="A22" s="21" t="s">
        <v>1300</v>
      </c>
      <c r="B22" s="21">
        <v>32</v>
      </c>
      <c r="C22" s="2" t="s">
        <v>147</v>
      </c>
      <c r="D22" s="121">
        <f>Walls!$B$259</f>
        <v>32</v>
      </c>
      <c r="E22" s="122">
        <f t="shared" si="0"/>
        <v>0</v>
      </c>
      <c r="F22" s="2" t="s">
        <v>1301</v>
      </c>
    </row>
    <row r="23" spans="1:6" x14ac:dyDescent="0.3">
      <c r="A23" s="21" t="s">
        <v>368</v>
      </c>
      <c r="B23" s="21">
        <v>74</v>
      </c>
      <c r="C23" s="2" t="s">
        <v>147</v>
      </c>
      <c r="D23" s="121">
        <f>Walls!$B$260</f>
        <v>74</v>
      </c>
      <c r="E23" s="122">
        <f t="shared" si="0"/>
        <v>0</v>
      </c>
      <c r="F23" s="2" t="s">
        <v>1302</v>
      </c>
    </row>
    <row r="24" spans="1:6" x14ac:dyDescent="0.3">
      <c r="A24" s="21" t="s">
        <v>369</v>
      </c>
      <c r="B24" s="21">
        <v>176</v>
      </c>
      <c r="C24" s="2" t="s">
        <v>299</v>
      </c>
      <c r="D24" s="121">
        <f>Walls!$B$261</f>
        <v>176</v>
      </c>
      <c r="E24" s="122">
        <f t="shared" si="0"/>
        <v>0</v>
      </c>
      <c r="F24" s="2"/>
    </row>
    <row r="25" spans="1:6" x14ac:dyDescent="0.3">
      <c r="A25" s="21" t="s">
        <v>370</v>
      </c>
      <c r="B25" s="21">
        <v>212</v>
      </c>
      <c r="C25" s="2" t="s">
        <v>147</v>
      </c>
      <c r="D25" s="121">
        <f>Walls!$B$262</f>
        <v>212</v>
      </c>
      <c r="E25" s="122">
        <f t="shared" si="0"/>
        <v>0</v>
      </c>
      <c r="F25" s="2"/>
    </row>
    <row r="26" spans="1:6" x14ac:dyDescent="0.3">
      <c r="A26" s="21" t="s">
        <v>377</v>
      </c>
      <c r="B26" s="21">
        <v>1661</v>
      </c>
      <c r="C26" s="2" t="s">
        <v>299</v>
      </c>
      <c r="D26" s="121">
        <f>Walls!$B$266</f>
        <v>1661</v>
      </c>
      <c r="E26" s="122">
        <f t="shared" si="0"/>
        <v>0</v>
      </c>
      <c r="F26" s="2" t="s">
        <v>1303</v>
      </c>
    </row>
    <row r="27" spans="1:6" x14ac:dyDescent="0.3">
      <c r="A27" s="21" t="s">
        <v>380</v>
      </c>
      <c r="B27" s="21">
        <v>272</v>
      </c>
      <c r="C27" s="2" t="s">
        <v>299</v>
      </c>
      <c r="D27" s="121">
        <f>Walls!$B$269</f>
        <v>272</v>
      </c>
      <c r="E27" s="122">
        <f t="shared" si="0"/>
        <v>0</v>
      </c>
      <c r="F27" s="2" t="s">
        <v>1304</v>
      </c>
    </row>
    <row r="28" spans="1:6" x14ac:dyDescent="0.3">
      <c r="A28" s="21" t="s">
        <v>378</v>
      </c>
      <c r="B28" s="21">
        <v>45</v>
      </c>
      <c r="C28" s="2" t="s">
        <v>147</v>
      </c>
      <c r="D28" s="121">
        <f>Walls!$B$267</f>
        <v>45</v>
      </c>
      <c r="E28" s="122">
        <f t="shared" si="0"/>
        <v>0</v>
      </c>
      <c r="F28" s="2"/>
    </row>
    <row r="29" spans="1:6" x14ac:dyDescent="0.3">
      <c r="A29" s="21" t="s">
        <v>379</v>
      </c>
      <c r="B29" s="21">
        <v>156.52099999999999</v>
      </c>
      <c r="C29" s="2" t="s">
        <v>299</v>
      </c>
      <c r="D29" s="121">
        <f>Walls!$B$268</f>
        <v>156.52083333333331</v>
      </c>
      <c r="E29" s="122">
        <f t="shared" si="0"/>
        <v>-1.6666666667219943E-4</v>
      </c>
      <c r="F29" s="2"/>
    </row>
    <row r="30" spans="1:6" x14ac:dyDescent="0.3">
      <c r="A30" s="21" t="s">
        <v>1305</v>
      </c>
      <c r="B30" s="21">
        <v>139.833</v>
      </c>
      <c r="C30" s="2" t="s">
        <v>299</v>
      </c>
      <c r="D30" s="121">
        <f>Walls!$B$115</f>
        <v>139.83333333333334</v>
      </c>
      <c r="E30" s="122">
        <f t="shared" si="0"/>
        <v>3.3333333334439885E-4</v>
      </c>
      <c r="F30" s="2" t="s">
        <v>1306</v>
      </c>
    </row>
    <row r="31" spans="1:6" x14ac:dyDescent="0.3">
      <c r="A31" s="21" t="s">
        <v>1307</v>
      </c>
      <c r="B31" s="21">
        <v>568.35400000000004</v>
      </c>
      <c r="C31" s="2" t="s">
        <v>299</v>
      </c>
      <c r="D31" s="121">
        <f>Walls!$B$270</f>
        <v>568.35416666666663</v>
      </c>
      <c r="E31" s="122">
        <f t="shared" si="0"/>
        <v>1.666666665869343E-4</v>
      </c>
      <c r="F31" s="2"/>
    </row>
    <row r="32" spans="1:6" x14ac:dyDescent="0.3">
      <c r="A32" s="21" t="s">
        <v>1308</v>
      </c>
      <c r="B32" s="21">
        <v>3</v>
      </c>
      <c r="C32" s="2" t="s">
        <v>147</v>
      </c>
      <c r="D32" s="121">
        <f>Walls!$B$123</f>
        <v>3</v>
      </c>
      <c r="E32" s="122">
        <f t="shared" si="0"/>
        <v>0</v>
      </c>
      <c r="F32" s="2" t="s">
        <v>1309</v>
      </c>
    </row>
    <row r="33" spans="1:6" x14ac:dyDescent="0.3">
      <c r="A33" s="21" t="s">
        <v>1310</v>
      </c>
      <c r="B33" s="21">
        <v>4</v>
      </c>
      <c r="C33" s="2" t="s">
        <v>147</v>
      </c>
      <c r="D33" s="121">
        <f>Walls!$B$124</f>
        <v>4</v>
      </c>
      <c r="E33" s="122">
        <f t="shared" si="0"/>
        <v>0</v>
      </c>
      <c r="F33" s="2" t="s">
        <v>1311</v>
      </c>
    </row>
    <row r="34" spans="1:6" x14ac:dyDescent="0.3">
      <c r="A34" s="21" t="s">
        <v>383</v>
      </c>
      <c r="B34" s="21">
        <v>371.33300000000003</v>
      </c>
      <c r="C34" s="2" t="s">
        <v>299</v>
      </c>
      <c r="D34" s="121">
        <f>Walls!$B$271</f>
        <v>371.33333333333337</v>
      </c>
      <c r="E34" s="122">
        <f t="shared" si="0"/>
        <v>3.3333333334439885E-4</v>
      </c>
      <c r="F34" s="2" t="s">
        <v>1312</v>
      </c>
    </row>
    <row r="35" spans="1:6" x14ac:dyDescent="0.3">
      <c r="A35" s="21" t="s">
        <v>384</v>
      </c>
      <c r="B35" s="21">
        <v>520</v>
      </c>
      <c r="C35" s="2" t="s">
        <v>147</v>
      </c>
      <c r="D35" s="121">
        <f>Walls!$B$272</f>
        <v>520</v>
      </c>
      <c r="E35" s="122">
        <f t="shared" si="0"/>
        <v>0</v>
      </c>
      <c r="F35" s="2" t="s">
        <v>1313</v>
      </c>
    </row>
    <row r="36" spans="1:6" x14ac:dyDescent="0.3">
      <c r="A36" s="21" t="s">
        <v>450</v>
      </c>
      <c r="B36" s="21">
        <v>1040</v>
      </c>
      <c r="C36" s="2" t="s">
        <v>147</v>
      </c>
      <c r="D36" s="121">
        <f>Walls!$B$272*Walls!$B$32</f>
        <v>1040</v>
      </c>
      <c r="E36" s="122">
        <f t="shared" si="0"/>
        <v>0</v>
      </c>
      <c r="F36" s="2" t="s">
        <v>1314</v>
      </c>
    </row>
    <row r="37" spans="1:6" x14ac:dyDescent="0.3">
      <c r="A37" s="21" t="s">
        <v>1315</v>
      </c>
      <c r="B37" s="21">
        <v>1696</v>
      </c>
      <c r="C37" s="2" t="s">
        <v>147</v>
      </c>
      <c r="D37" s="121">
        <f>Walls!$B$273*2*Walls!$B$33</f>
        <v>1696</v>
      </c>
      <c r="E37" s="122">
        <f t="shared" si="0"/>
        <v>0</v>
      </c>
      <c r="F37" s="2" t="s">
        <v>1316</v>
      </c>
    </row>
    <row r="38" spans="1:6" x14ac:dyDescent="0.3">
      <c r="A38" s="21" t="s">
        <v>1317</v>
      </c>
      <c r="B38" s="21">
        <v>272</v>
      </c>
      <c r="C38" s="2" t="s">
        <v>147</v>
      </c>
      <c r="D38" s="121">
        <f>Walls!$B$103*Walls!$B$34</f>
        <v>272</v>
      </c>
      <c r="E38" s="122">
        <f t="shared" si="0"/>
        <v>0</v>
      </c>
      <c r="F38" s="2" t="s">
        <v>1318</v>
      </c>
    </row>
    <row r="39" spans="1:6" x14ac:dyDescent="0.3">
      <c r="A39" s="21" t="s">
        <v>1319</v>
      </c>
      <c r="B39" s="21">
        <v>408</v>
      </c>
      <c r="C39" s="2" t="s">
        <v>147</v>
      </c>
      <c r="D39" s="121">
        <f>Walls!$B$103*Walls!$B$35</f>
        <v>408</v>
      </c>
      <c r="E39" s="122">
        <f t="shared" si="0"/>
        <v>0</v>
      </c>
      <c r="F39" s="2" t="s">
        <v>1320</v>
      </c>
    </row>
    <row r="40" spans="1:6" x14ac:dyDescent="0.3">
      <c r="A40" s="21" t="s">
        <v>462</v>
      </c>
      <c r="B40" s="21">
        <v>68</v>
      </c>
      <c r="C40" s="2" t="s">
        <v>147</v>
      </c>
      <c r="D40" s="121">
        <f>Walls!$B$103*Walls!$B$36</f>
        <v>68</v>
      </c>
      <c r="E40" s="122">
        <f t="shared" si="0"/>
        <v>0</v>
      </c>
      <c r="F40" s="2" t="s">
        <v>1321</v>
      </c>
    </row>
    <row r="41" spans="1:6" x14ac:dyDescent="0.3">
      <c r="A41" s="21" t="s">
        <v>1322</v>
      </c>
      <c r="B41" s="21">
        <v>2360.6669999999999</v>
      </c>
      <c r="C41" s="2" t="s">
        <v>302</v>
      </c>
      <c r="D41" s="121">
        <f>Walls!$B$120*Walls!$B$31</f>
        <v>2360.666666666667</v>
      </c>
      <c r="E41" s="122">
        <f t="shared" si="0"/>
        <v>-3.3333333294649492E-4</v>
      </c>
      <c r="F41" s="2" t="s">
        <v>1323</v>
      </c>
    </row>
    <row r="42" spans="1:6" x14ac:dyDescent="0.3">
      <c r="A42" s="21" t="s">
        <v>1324</v>
      </c>
      <c r="B42" s="21">
        <v>34</v>
      </c>
      <c r="C42" s="2" t="s">
        <v>147</v>
      </c>
      <c r="D42" s="121">
        <f>Walls!$B$275</f>
        <v>34</v>
      </c>
      <c r="E42" s="122">
        <f t="shared" si="0"/>
        <v>0</v>
      </c>
      <c r="F42" s="2" t="s">
        <v>1325</v>
      </c>
    </row>
    <row r="43" spans="1:6" x14ac:dyDescent="0.3">
      <c r="A43" s="21" t="s">
        <v>388</v>
      </c>
      <c r="B43" s="21">
        <v>207.5</v>
      </c>
      <c r="C43" s="2" t="s">
        <v>299</v>
      </c>
      <c r="D43" s="121">
        <f>Walls!$B$276</f>
        <v>207.5</v>
      </c>
      <c r="E43" s="122">
        <f t="shared" si="0"/>
        <v>0</v>
      </c>
      <c r="F43" s="2" t="s">
        <v>1326</v>
      </c>
    </row>
    <row r="44" spans="1:6" x14ac:dyDescent="0.3">
      <c r="A44" s="21" t="s">
        <v>1327</v>
      </c>
      <c r="B44" s="21">
        <v>25</v>
      </c>
      <c r="C44" s="2" t="s">
        <v>299</v>
      </c>
      <c r="D44" s="121">
        <f>Walls!$B$277</f>
        <v>25</v>
      </c>
      <c r="E44" s="122">
        <f t="shared" si="0"/>
        <v>0</v>
      </c>
      <c r="F44" s="2" t="s">
        <v>1328</v>
      </c>
    </row>
    <row r="45" spans="1:6" x14ac:dyDescent="0.3">
      <c r="A45" s="21" t="s">
        <v>1329</v>
      </c>
      <c r="B45" s="21">
        <v>24</v>
      </c>
      <c r="C45" s="2" t="s">
        <v>299</v>
      </c>
      <c r="D45" s="121">
        <f>Walls!$B$278</f>
        <v>24.000000000000004</v>
      </c>
      <c r="E45" s="122">
        <f t="shared" si="0"/>
        <v>0</v>
      </c>
      <c r="F45" s="2"/>
    </row>
    <row r="46" spans="1:6" x14ac:dyDescent="0.3">
      <c r="A46" s="21" t="s">
        <v>410</v>
      </c>
      <c r="B46" s="21">
        <v>200</v>
      </c>
      <c r="C46" s="2" t="s">
        <v>302</v>
      </c>
      <c r="D46" s="121">
        <f>Walls!$B$287</f>
        <v>200</v>
      </c>
      <c r="E46" s="122">
        <f t="shared" si="0"/>
        <v>0</v>
      </c>
      <c r="F46" s="2" t="s">
        <v>1330</v>
      </c>
    </row>
    <row r="47" spans="1:6" x14ac:dyDescent="0.3">
      <c r="A47" s="21" t="s">
        <v>1331</v>
      </c>
      <c r="B47" s="21">
        <v>132</v>
      </c>
      <c r="C47" s="2" t="s">
        <v>299</v>
      </c>
      <c r="D47" s="121">
        <f>Walls!$B$288</f>
        <v>132</v>
      </c>
      <c r="E47" s="122">
        <f t="shared" si="0"/>
        <v>0</v>
      </c>
      <c r="F47" s="2" t="s">
        <v>1332</v>
      </c>
    </row>
    <row r="48" spans="1:6" x14ac:dyDescent="0.3">
      <c r="A48" s="21" t="s">
        <v>115</v>
      </c>
      <c r="B48" s="21">
        <v>9</v>
      </c>
      <c r="C48" s="2" t="s">
        <v>147</v>
      </c>
      <c r="D48" s="121">
        <f>Walls!$B$289</f>
        <v>9</v>
      </c>
      <c r="E48" s="122">
        <f t="shared" si="0"/>
        <v>0</v>
      </c>
      <c r="F48" s="2"/>
    </row>
    <row r="49" spans="1:6" x14ac:dyDescent="0.3">
      <c r="A49" s="6" t="s">
        <v>1333</v>
      </c>
      <c r="B49" s="21"/>
      <c r="C49" s="2"/>
      <c r="F49" s="2" t="s">
        <v>1334</v>
      </c>
    </row>
    <row r="50" spans="1:6" x14ac:dyDescent="0.3">
      <c r="A50" s="21" t="s">
        <v>1335</v>
      </c>
      <c r="B50" s="21">
        <v>504</v>
      </c>
      <c r="C50" s="2" t="s">
        <v>152</v>
      </c>
      <c r="D50" s="121">
        <f>Roof!$B$63</f>
        <v>504</v>
      </c>
      <c r="E50" s="122">
        <f t="shared" ref="E50:E78" si="1">D50-B50</f>
        <v>0</v>
      </c>
      <c r="F50" s="2" t="s">
        <v>1336</v>
      </c>
    </row>
    <row r="51" spans="1:6" x14ac:dyDescent="0.3">
      <c r="A51" s="21" t="s">
        <v>1337</v>
      </c>
      <c r="B51" s="21">
        <v>395</v>
      </c>
      <c r="C51" s="2" t="s">
        <v>152</v>
      </c>
      <c r="D51" s="121">
        <f>Roof!$B$64</f>
        <v>395</v>
      </c>
      <c r="E51" s="122">
        <f t="shared" si="1"/>
        <v>0</v>
      </c>
      <c r="F51" s="2" t="s">
        <v>1338</v>
      </c>
    </row>
    <row r="52" spans="1:6" x14ac:dyDescent="0.3">
      <c r="A52" s="21" t="s">
        <v>1339</v>
      </c>
      <c r="B52" s="21">
        <v>29.917000000000002</v>
      </c>
      <c r="C52" s="2" t="s">
        <v>152</v>
      </c>
      <c r="D52" s="121">
        <f>Roof!$B$68</f>
        <v>29.916666666666668</v>
      </c>
      <c r="E52" s="122">
        <f t="shared" si="1"/>
        <v>-3.3333333333374071E-4</v>
      </c>
      <c r="F52" s="2" t="s">
        <v>1340</v>
      </c>
    </row>
    <row r="53" spans="1:6" x14ac:dyDescent="0.3">
      <c r="A53" s="21" t="s">
        <v>1341</v>
      </c>
      <c r="B53" s="21">
        <v>0</v>
      </c>
      <c r="C53" s="2" t="s">
        <v>152</v>
      </c>
      <c r="D53" s="121">
        <f>Roof!$B$69</f>
        <v>0</v>
      </c>
      <c r="E53" s="122">
        <f t="shared" si="1"/>
        <v>0</v>
      </c>
      <c r="F53" s="2" t="s">
        <v>1342</v>
      </c>
    </row>
    <row r="54" spans="1:6" x14ac:dyDescent="0.3">
      <c r="A54" s="21" t="s">
        <v>1343</v>
      </c>
      <c r="B54" s="21">
        <v>1387.2919999999999</v>
      </c>
      <c r="C54" s="2" t="s">
        <v>302</v>
      </c>
      <c r="D54" s="121">
        <f>Roof!$B$77</f>
        <v>1387.2920420983621</v>
      </c>
      <c r="E54" s="122">
        <f t="shared" si="1"/>
        <v>4.2098362200704287E-5</v>
      </c>
      <c r="F54" s="2"/>
    </row>
    <row r="55" spans="1:6" x14ac:dyDescent="0.3">
      <c r="A55" s="21" t="s">
        <v>662</v>
      </c>
      <c r="B55" s="21">
        <v>168</v>
      </c>
      <c r="C55" s="2" t="s">
        <v>152</v>
      </c>
      <c r="D55" s="121">
        <f>Roof!$B$74</f>
        <v>168</v>
      </c>
      <c r="E55" s="122">
        <f t="shared" si="1"/>
        <v>0</v>
      </c>
      <c r="F55" s="2"/>
    </row>
    <row r="56" spans="1:6" x14ac:dyDescent="0.3">
      <c r="A56" s="21" t="s">
        <v>1344</v>
      </c>
      <c r="B56" s="21">
        <v>396.36900000000003</v>
      </c>
      <c r="C56" s="2" t="s">
        <v>152</v>
      </c>
      <c r="D56" s="121">
        <f>Roof!$B$75</f>
        <v>396.36915488524636</v>
      </c>
      <c r="E56" s="122">
        <f t="shared" si="1"/>
        <v>1.5488524633155976E-4</v>
      </c>
      <c r="F56" s="2" t="s">
        <v>1345</v>
      </c>
    </row>
    <row r="57" spans="1:6" x14ac:dyDescent="0.3">
      <c r="A57" s="21" t="s">
        <v>1346</v>
      </c>
      <c r="B57" s="21">
        <v>0</v>
      </c>
      <c r="C57" s="2" t="s">
        <v>152</v>
      </c>
      <c r="D57" s="121">
        <f>Roof!$B$76</f>
        <v>0</v>
      </c>
      <c r="E57" s="122">
        <f t="shared" si="1"/>
        <v>0</v>
      </c>
      <c r="F57" s="2" t="s">
        <v>1347</v>
      </c>
    </row>
    <row r="58" spans="1:6" x14ac:dyDescent="0.3">
      <c r="A58" s="21" t="s">
        <v>1348</v>
      </c>
      <c r="B58" s="21">
        <v>12</v>
      </c>
      <c r="C58" s="2" t="s">
        <v>147</v>
      </c>
      <c r="D58" s="121">
        <f>Roof!$B$78</f>
        <v>12</v>
      </c>
      <c r="E58" s="122">
        <f t="shared" si="1"/>
        <v>0</v>
      </c>
      <c r="F58" s="2"/>
    </row>
    <row r="59" spans="1:6" x14ac:dyDescent="0.3">
      <c r="A59" s="21" t="s">
        <v>1349</v>
      </c>
      <c r="B59" s="21">
        <v>1189.107</v>
      </c>
      <c r="C59" s="2" t="s">
        <v>299</v>
      </c>
      <c r="D59" s="121">
        <f>Roof!$B$83</f>
        <v>1189.107464655739</v>
      </c>
      <c r="E59" s="122">
        <f t="shared" si="1"/>
        <v>4.6465573905152269E-4</v>
      </c>
      <c r="F59" s="2" t="s">
        <v>1350</v>
      </c>
    </row>
    <row r="60" spans="1:6" x14ac:dyDescent="0.3">
      <c r="A60" s="21" t="s">
        <v>1351</v>
      </c>
      <c r="B60" s="21">
        <v>9</v>
      </c>
      <c r="C60" s="2" t="s">
        <v>147</v>
      </c>
      <c r="D60" s="121">
        <f>Roof!$B$79</f>
        <v>9</v>
      </c>
      <c r="E60" s="122">
        <f t="shared" si="1"/>
        <v>0</v>
      </c>
      <c r="F60" s="2"/>
    </row>
    <row r="61" spans="1:6" x14ac:dyDescent="0.3">
      <c r="A61" s="21" t="s">
        <v>1352</v>
      </c>
      <c r="B61" s="21">
        <v>0</v>
      </c>
      <c r="C61" s="2" t="s">
        <v>147</v>
      </c>
      <c r="D61" s="121">
        <f>Roof!$B$80</f>
        <v>0</v>
      </c>
      <c r="E61" s="122">
        <f t="shared" si="1"/>
        <v>0</v>
      </c>
      <c r="F61" s="2" t="s">
        <v>1347</v>
      </c>
    </row>
    <row r="62" spans="1:6" x14ac:dyDescent="0.3">
      <c r="A62" s="21" t="s">
        <v>681</v>
      </c>
      <c r="B62" s="21">
        <v>378</v>
      </c>
      <c r="C62" s="2" t="s">
        <v>299</v>
      </c>
      <c r="D62" s="121">
        <f>Roof!$B$85</f>
        <v>378</v>
      </c>
      <c r="E62" s="122">
        <f t="shared" si="1"/>
        <v>0</v>
      </c>
      <c r="F62" s="2"/>
    </row>
    <row r="63" spans="1:6" x14ac:dyDescent="0.3">
      <c r="A63" s="21" t="s">
        <v>1353</v>
      </c>
      <c r="B63" s="21">
        <v>84</v>
      </c>
      <c r="C63" s="2" t="s">
        <v>299</v>
      </c>
      <c r="D63" s="121">
        <f>Roof!$B$84</f>
        <v>84</v>
      </c>
      <c r="E63" s="122">
        <f t="shared" si="1"/>
        <v>0</v>
      </c>
      <c r="F63" s="2"/>
    </row>
    <row r="64" spans="1:6" x14ac:dyDescent="0.3">
      <c r="A64" s="21" t="s">
        <v>1354</v>
      </c>
      <c r="B64" s="21">
        <v>324</v>
      </c>
      <c r="C64" s="2" t="s">
        <v>147</v>
      </c>
      <c r="D64" s="121">
        <f>Roof!$B$86</f>
        <v>324</v>
      </c>
      <c r="E64" s="122">
        <f t="shared" si="1"/>
        <v>0</v>
      </c>
      <c r="F64" s="2"/>
    </row>
    <row r="65" spans="1:6" x14ac:dyDescent="0.3">
      <c r="A65" s="21" t="s">
        <v>1355</v>
      </c>
      <c r="B65" s="21">
        <v>648</v>
      </c>
      <c r="C65" s="2" t="s">
        <v>147</v>
      </c>
      <c r="D65" s="121">
        <f>Roof!$B$86*Roof!$B$36</f>
        <v>648</v>
      </c>
      <c r="E65" s="122">
        <f t="shared" si="1"/>
        <v>0</v>
      </c>
      <c r="F65" s="2"/>
    </row>
    <row r="66" spans="1:6" x14ac:dyDescent="0.3">
      <c r="A66" s="21" t="s">
        <v>684</v>
      </c>
      <c r="B66" s="21">
        <v>24</v>
      </c>
      <c r="C66" s="2" t="s">
        <v>147</v>
      </c>
      <c r="D66" s="121">
        <f>Roof!$B$87</f>
        <v>24</v>
      </c>
      <c r="E66" s="122">
        <f t="shared" si="1"/>
        <v>0</v>
      </c>
      <c r="F66" s="2"/>
    </row>
    <row r="67" spans="1:6" x14ac:dyDescent="0.3">
      <c r="A67" s="21" t="s">
        <v>1356</v>
      </c>
      <c r="B67" s="21">
        <v>1387.2919999999999</v>
      </c>
      <c r="C67" s="2" t="s">
        <v>302</v>
      </c>
      <c r="D67" s="121">
        <f>Roof!$B$77</f>
        <v>1387.2920420983621</v>
      </c>
      <c r="E67" s="122">
        <f t="shared" si="1"/>
        <v>4.2098362200704287E-5</v>
      </c>
      <c r="F67" s="2"/>
    </row>
    <row r="68" spans="1:6" x14ac:dyDescent="0.3">
      <c r="A68" s="21" t="s">
        <v>633</v>
      </c>
      <c r="B68" s="21">
        <v>27.831</v>
      </c>
      <c r="C68" s="2" t="s">
        <v>395</v>
      </c>
      <c r="D68" s="121">
        <f>Roof!$B$88</f>
        <v>27.83147615320788</v>
      </c>
      <c r="E68" s="122">
        <f t="shared" si="1"/>
        <v>4.7615320788096938E-4</v>
      </c>
      <c r="F68" s="2" t="s">
        <v>1357</v>
      </c>
    </row>
    <row r="69" spans="1:6" x14ac:dyDescent="0.3">
      <c r="A69" s="21" t="s">
        <v>635</v>
      </c>
      <c r="B69" s="21">
        <v>29.972000000000001</v>
      </c>
      <c r="C69" s="2" t="s">
        <v>395</v>
      </c>
      <c r="D69" s="121">
        <f>Roof!$B$89</f>
        <v>29.97235893422387</v>
      </c>
      <c r="E69" s="122">
        <f t="shared" si="1"/>
        <v>3.5893422386834573E-4</v>
      </c>
      <c r="F69" s="2" t="s">
        <v>1358</v>
      </c>
    </row>
    <row r="70" spans="1:6" x14ac:dyDescent="0.3">
      <c r="A70" s="21" t="s">
        <v>1359</v>
      </c>
      <c r="B70" s="21">
        <v>57.804000000000002</v>
      </c>
      <c r="C70" s="2" t="s">
        <v>395</v>
      </c>
      <c r="D70" s="121">
        <f>Roof!$B$90</f>
        <v>57.80383508743175</v>
      </c>
      <c r="E70" s="122">
        <f t="shared" si="1"/>
        <v>-1.6491256825190703E-4</v>
      </c>
      <c r="F70" s="2" t="s">
        <v>1360</v>
      </c>
    </row>
    <row r="71" spans="1:6" x14ac:dyDescent="0.3">
      <c r="A71" s="21" t="s">
        <v>1361</v>
      </c>
      <c r="B71" s="21">
        <v>10616.638000000001</v>
      </c>
      <c r="C71" s="2" t="s">
        <v>237</v>
      </c>
      <c r="D71" s="121">
        <f>Roof!$B$91</f>
        <v>10616.6377110583</v>
      </c>
      <c r="E71" s="122">
        <f t="shared" si="1"/>
        <v>-2.8894170100102201E-4</v>
      </c>
      <c r="F71" s="2"/>
    </row>
    <row r="72" spans="1:6" x14ac:dyDescent="0.3">
      <c r="A72" s="21" t="s">
        <v>1362</v>
      </c>
      <c r="B72" s="21">
        <v>2.4780000000000002</v>
      </c>
      <c r="C72" s="2" t="s">
        <v>395</v>
      </c>
      <c r="D72" s="121">
        <f>Roof!$B$92</f>
        <v>2.4776663237311389</v>
      </c>
      <c r="E72" s="122">
        <f t="shared" si="1"/>
        <v>-3.3367626886127155E-4</v>
      </c>
      <c r="F72" s="2" t="s">
        <v>1363</v>
      </c>
    </row>
    <row r="73" spans="1:6" x14ac:dyDescent="0.3">
      <c r="A73" s="21" t="s">
        <v>1364</v>
      </c>
      <c r="B73" s="21">
        <v>66.667000000000002</v>
      </c>
      <c r="C73" s="2" t="s">
        <v>302</v>
      </c>
      <c r="D73" s="121">
        <f>Roof!$B$96</f>
        <v>66.666666666666671</v>
      </c>
      <c r="E73" s="122">
        <f t="shared" si="1"/>
        <v>-3.33333333330188E-4</v>
      </c>
      <c r="F73" s="2" t="s">
        <v>1365</v>
      </c>
    </row>
    <row r="74" spans="1:6" x14ac:dyDescent="0.3">
      <c r="A74" s="21" t="s">
        <v>658</v>
      </c>
      <c r="B74" s="21">
        <v>0</v>
      </c>
      <c r="C74" s="2" t="s">
        <v>152</v>
      </c>
      <c r="D74" s="121">
        <f>Roof!$B$72</f>
        <v>0</v>
      </c>
      <c r="E74" s="122">
        <f t="shared" si="1"/>
        <v>0</v>
      </c>
      <c r="F74" s="2" t="s">
        <v>1347</v>
      </c>
    </row>
    <row r="75" spans="1:6" x14ac:dyDescent="0.3">
      <c r="A75" s="21" t="s">
        <v>1366</v>
      </c>
      <c r="B75" s="21">
        <v>0</v>
      </c>
      <c r="C75" s="2" t="s">
        <v>1367</v>
      </c>
      <c r="D75" s="121">
        <f>Roof!$B$73</f>
        <v>0</v>
      </c>
      <c r="E75" s="122">
        <f t="shared" si="1"/>
        <v>0</v>
      </c>
      <c r="F75" s="2" t="s">
        <v>1347</v>
      </c>
    </row>
    <row r="76" spans="1:6" x14ac:dyDescent="0.3">
      <c r="A76" s="21" t="s">
        <v>1368</v>
      </c>
      <c r="B76" s="21">
        <v>0</v>
      </c>
      <c r="C76" s="2" t="s">
        <v>395</v>
      </c>
      <c r="D76" s="121">
        <f>Roof!$B$93</f>
        <v>0</v>
      </c>
      <c r="E76" s="122">
        <f t="shared" si="1"/>
        <v>0</v>
      </c>
      <c r="F76" s="2" t="s">
        <v>1369</v>
      </c>
    </row>
    <row r="77" spans="1:6" x14ac:dyDescent="0.3">
      <c r="A77" s="21" t="s">
        <v>1370</v>
      </c>
      <c r="B77" s="21">
        <v>0</v>
      </c>
      <c r="C77" s="2" t="s">
        <v>299</v>
      </c>
      <c r="D77" s="121">
        <f>Roof!$B$94</f>
        <v>0</v>
      </c>
      <c r="E77" s="122">
        <f t="shared" si="1"/>
        <v>0</v>
      </c>
      <c r="F77" s="2" t="s">
        <v>1371</v>
      </c>
    </row>
    <row r="78" spans="1:6" x14ac:dyDescent="0.3">
      <c r="A78" s="21" t="s">
        <v>698</v>
      </c>
      <c r="B78" s="21">
        <v>1</v>
      </c>
      <c r="C78" s="2" t="s">
        <v>699</v>
      </c>
      <c r="D78" s="121">
        <f>Roof!$B$95</f>
        <v>1</v>
      </c>
      <c r="E78" s="122">
        <f t="shared" si="1"/>
        <v>0</v>
      </c>
      <c r="F78" s="2" t="s">
        <v>1372</v>
      </c>
    </row>
  </sheetData>
  <hyperlinks>
    <hyperlink ref="A3" location="'Summary'!A1" display="← Summary" xr:uid="{00000000-0004-0000-0600-000000000000}"/>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56"/>
  <sheetViews>
    <sheetView workbookViewId="0"/>
  </sheetViews>
  <sheetFormatPr defaultRowHeight="14.4" x14ac:dyDescent="0.3"/>
  <cols>
    <col min="1" max="1" width="140" customWidth="1"/>
  </cols>
  <sheetData>
    <row r="1" spans="1:1" x14ac:dyDescent="0.3">
      <c r="A1" s="123" t="s">
        <v>1373</v>
      </c>
    </row>
    <row r="2" spans="1:1" ht="39.6" x14ac:dyDescent="0.3">
      <c r="A2" s="124" t="s">
        <v>1374</v>
      </c>
    </row>
    <row r="3" spans="1:1" ht="52.8" x14ac:dyDescent="0.3">
      <c r="A3" s="124" t="s">
        <v>1375</v>
      </c>
    </row>
    <row r="4" spans="1:1" ht="92.4" x14ac:dyDescent="0.3">
      <c r="A4" s="124" t="s">
        <v>1376</v>
      </c>
    </row>
    <row r="5" spans="1:1" ht="52.8" x14ac:dyDescent="0.3">
      <c r="A5" s="124" t="s">
        <v>1377</v>
      </c>
    </row>
    <row r="6" spans="1:1" ht="66" x14ac:dyDescent="0.3">
      <c r="A6" s="124" t="s">
        <v>1378</v>
      </c>
    </row>
    <row r="7" spans="1:1" ht="66" x14ac:dyDescent="0.3">
      <c r="A7" s="124" t="s">
        <v>1379</v>
      </c>
    </row>
    <row r="8" spans="1:1" ht="39.6" x14ac:dyDescent="0.3">
      <c r="A8" s="124" t="s">
        <v>1380</v>
      </c>
    </row>
    <row r="9" spans="1:1" x14ac:dyDescent="0.3">
      <c r="A9" s="124"/>
    </row>
    <row r="10" spans="1:1" x14ac:dyDescent="0.3">
      <c r="A10" s="123" t="s">
        <v>1381</v>
      </c>
    </row>
    <row r="11" spans="1:1" ht="66" x14ac:dyDescent="0.3">
      <c r="A11" s="124" t="s">
        <v>1382</v>
      </c>
    </row>
    <row r="12" spans="1:1" ht="52.8" x14ac:dyDescent="0.3">
      <c r="A12" s="124" t="s">
        <v>1383</v>
      </c>
    </row>
    <row r="13" spans="1:1" ht="26.4" x14ac:dyDescent="0.3">
      <c r="A13" s="124" t="s">
        <v>1384</v>
      </c>
    </row>
    <row r="14" spans="1:1" ht="26.4" x14ac:dyDescent="0.3">
      <c r="A14" s="124" t="s">
        <v>1385</v>
      </c>
    </row>
    <row r="15" spans="1:1" x14ac:dyDescent="0.3">
      <c r="A15" s="124"/>
    </row>
    <row r="16" spans="1:1" x14ac:dyDescent="0.3">
      <c r="A16" s="123" t="s">
        <v>1386</v>
      </c>
    </row>
    <row r="17" spans="1:1" ht="66" x14ac:dyDescent="0.3">
      <c r="A17" s="124" t="s">
        <v>1387</v>
      </c>
    </row>
    <row r="18" spans="1:1" ht="52.8" x14ac:dyDescent="0.3">
      <c r="A18" s="124" t="s">
        <v>1388</v>
      </c>
    </row>
    <row r="19" spans="1:1" ht="26.4" x14ac:dyDescent="0.3">
      <c r="A19" s="124" t="s">
        <v>1389</v>
      </c>
    </row>
    <row r="20" spans="1:1" ht="105.6" x14ac:dyDescent="0.3">
      <c r="A20" s="124" t="s">
        <v>1390</v>
      </c>
    </row>
    <row r="21" spans="1:1" x14ac:dyDescent="0.3">
      <c r="A21" s="124"/>
    </row>
    <row r="22" spans="1:1" x14ac:dyDescent="0.3">
      <c r="A22" s="123" t="s">
        <v>1391</v>
      </c>
    </row>
    <row r="23" spans="1:1" ht="52.8" x14ac:dyDescent="0.3">
      <c r="A23" s="124" t="s">
        <v>1392</v>
      </c>
    </row>
    <row r="24" spans="1:1" ht="52.8" x14ac:dyDescent="0.3">
      <c r="A24" s="124" t="s">
        <v>1393</v>
      </c>
    </row>
    <row r="25" spans="1:1" ht="66" x14ac:dyDescent="0.3">
      <c r="A25" s="124" t="s">
        <v>1394</v>
      </c>
    </row>
    <row r="26" spans="1:1" x14ac:dyDescent="0.3">
      <c r="A26" s="124"/>
    </row>
    <row r="27" spans="1:1" x14ac:dyDescent="0.3">
      <c r="A27" s="123" t="s">
        <v>1395</v>
      </c>
    </row>
    <row r="28" spans="1:1" ht="26.4" x14ac:dyDescent="0.3">
      <c r="A28" s="124" t="s">
        <v>1396</v>
      </c>
    </row>
    <row r="29" spans="1:1" ht="39.6" x14ac:dyDescent="0.3">
      <c r="A29" s="124" t="s">
        <v>1397</v>
      </c>
    </row>
    <row r="30" spans="1:1" ht="52.8" x14ac:dyDescent="0.3">
      <c r="A30" s="124" t="s">
        <v>1398</v>
      </c>
    </row>
    <row r="31" spans="1:1" ht="39.6" x14ac:dyDescent="0.3">
      <c r="A31" s="124" t="s">
        <v>1399</v>
      </c>
    </row>
    <row r="32" spans="1:1" ht="26.4" x14ac:dyDescent="0.3">
      <c r="A32" s="124" t="s">
        <v>1400</v>
      </c>
    </row>
    <row r="33" spans="1:1" ht="26.4" x14ac:dyDescent="0.3">
      <c r="A33" s="124" t="s">
        <v>1401</v>
      </c>
    </row>
    <row r="34" spans="1:1" x14ac:dyDescent="0.3">
      <c r="A34" s="124"/>
    </row>
    <row r="35" spans="1:1" x14ac:dyDescent="0.3">
      <c r="A35" s="123" t="s">
        <v>1402</v>
      </c>
    </row>
    <row r="36" spans="1:1" ht="26.4" x14ac:dyDescent="0.3">
      <c r="A36" s="124" t="s">
        <v>1403</v>
      </c>
    </row>
    <row r="37" spans="1:1" ht="39.6" x14ac:dyDescent="0.3">
      <c r="A37" s="124" t="s">
        <v>1404</v>
      </c>
    </row>
    <row r="38" spans="1:1" ht="26.4" x14ac:dyDescent="0.3">
      <c r="A38" s="124" t="s">
        <v>1405</v>
      </c>
    </row>
    <row r="39" spans="1:1" x14ac:dyDescent="0.3">
      <c r="A39" s="124"/>
    </row>
    <row r="40" spans="1:1" x14ac:dyDescent="0.3">
      <c r="A40" s="123" t="s">
        <v>1406</v>
      </c>
    </row>
    <row r="41" spans="1:1" ht="39.6" x14ac:dyDescent="0.3">
      <c r="A41" s="124" t="s">
        <v>1407</v>
      </c>
    </row>
    <row r="42" spans="1:1" x14ac:dyDescent="0.3">
      <c r="A42" s="124"/>
    </row>
    <row r="43" spans="1:1" x14ac:dyDescent="0.3">
      <c r="A43" s="123" t="s">
        <v>1408</v>
      </c>
    </row>
    <row r="44" spans="1:1" ht="39.6" x14ac:dyDescent="0.3">
      <c r="A44" s="124" t="s">
        <v>1409</v>
      </c>
    </row>
    <row r="45" spans="1:1" x14ac:dyDescent="0.3">
      <c r="A45" s="124"/>
    </row>
    <row r="46" spans="1:1" x14ac:dyDescent="0.3">
      <c r="A46" s="123" t="s">
        <v>1410</v>
      </c>
    </row>
    <row r="47" spans="1:1" ht="39.6" x14ac:dyDescent="0.3">
      <c r="A47" s="124" t="s">
        <v>1411</v>
      </c>
    </row>
    <row r="48" spans="1:1" x14ac:dyDescent="0.3">
      <c r="A48" s="124" t="s">
        <v>1412</v>
      </c>
    </row>
    <row r="49" spans="1:1" x14ac:dyDescent="0.3">
      <c r="A49" s="124"/>
    </row>
    <row r="50" spans="1:1" x14ac:dyDescent="0.3">
      <c r="A50" s="123" t="s">
        <v>1413</v>
      </c>
    </row>
    <row r="51" spans="1:1" x14ac:dyDescent="0.3">
      <c r="A51" s="124" t="s">
        <v>1414</v>
      </c>
    </row>
    <row r="52" spans="1:1" ht="52.8" x14ac:dyDescent="0.3">
      <c r="A52" s="124" t="s">
        <v>1415</v>
      </c>
    </row>
    <row r="53" spans="1:1" x14ac:dyDescent="0.3">
      <c r="A53" s="124"/>
    </row>
    <row r="54" spans="1:1" ht="52.8" x14ac:dyDescent="0.3">
      <c r="A54" s="123" t="s">
        <v>1416</v>
      </c>
    </row>
    <row r="56" spans="1:1" x14ac:dyDescent="0.3">
      <c r="A56" s="3" t="s">
        <v>127</v>
      </c>
    </row>
  </sheetData>
  <hyperlinks>
    <hyperlink ref="A56" location="'Summary'!A1" display="← Summary" xr:uid="{00000000-0004-0000-0700-000000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vt:lpstr>
      <vt:lpstr>Walls</vt:lpstr>
      <vt:lpstr>Roof</vt:lpstr>
      <vt:lpstr>Manufacturing</vt:lpstr>
      <vt:lpstr>Floor options</vt:lpstr>
      <vt:lpstr>Everything else</vt:lpstr>
      <vt:lpstr>Model takeoff</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MG LLC</cp:lastModifiedBy>
  <dcterms:created xsi:type="dcterms:W3CDTF">2026-09-13T01:10:19Z</dcterms:created>
  <dcterms:modified xsi:type="dcterms:W3CDTF">2026-09-13T01:10:36Z</dcterms:modified>
</cp:coreProperties>
</file>