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loba\projects\roof-panel-animator\docs\estimate\"/>
    </mc:Choice>
  </mc:AlternateContent>
  <xr:revisionPtr revIDLastSave="0" documentId="13_ncr:1_{7CC4B600-8D4D-4F27-8629-5107D3CF5B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mmary" sheetId="1" r:id="rId1"/>
    <sheet name="Estimate" sheetId="2" r:id="rId2"/>
    <sheet name="Floor options" sheetId="3" r:id="rId3"/>
    <sheet name="Model takeoff" sheetId="4" r:id="rId4"/>
    <sheet name="Not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3" i="3" l="1"/>
  <c r="E99" i="3"/>
  <c r="F99" i="3" s="1"/>
  <c r="E98" i="3"/>
  <c r="E97" i="3"/>
  <c r="E96" i="3"/>
  <c r="B96" i="3"/>
  <c r="F96" i="3" s="1"/>
  <c r="E95" i="3"/>
  <c r="E94" i="3"/>
  <c r="E93" i="3"/>
  <c r="E92" i="3"/>
  <c r="E91" i="3"/>
  <c r="B91" i="3"/>
  <c r="F91" i="3" s="1"/>
  <c r="E90" i="3"/>
  <c r="E89" i="3"/>
  <c r="E87" i="3"/>
  <c r="E86" i="3"/>
  <c r="E85" i="3"/>
  <c r="E84" i="3"/>
  <c r="B62" i="3"/>
  <c r="B61" i="3"/>
  <c r="B60" i="3"/>
  <c r="B59" i="3"/>
  <c r="B58" i="3"/>
  <c r="B57" i="3"/>
  <c r="B56" i="3"/>
  <c r="B55" i="3"/>
  <c r="E40" i="3"/>
  <c r="E38" i="3"/>
  <c r="E37" i="3"/>
  <c r="E36" i="3"/>
  <c r="E35" i="3"/>
  <c r="E34" i="3"/>
  <c r="E33" i="3"/>
  <c r="B17" i="3"/>
  <c r="B10" i="3"/>
  <c r="E100" i="3" s="1"/>
  <c r="B7" i="3"/>
  <c r="B79" i="3" s="1"/>
  <c r="B6" i="3"/>
  <c r="B9" i="3" s="1"/>
  <c r="B135" i="2"/>
  <c r="E131" i="2"/>
  <c r="B131" i="2"/>
  <c r="F131" i="2" s="1"/>
  <c r="E130" i="2"/>
  <c r="E129" i="2"/>
  <c r="E128" i="2"/>
  <c r="E127" i="2"/>
  <c r="E126" i="2"/>
  <c r="B126" i="2"/>
  <c r="F126" i="2" s="1"/>
  <c r="B118" i="2"/>
  <c r="F118" i="2" s="1"/>
  <c r="E105" i="2"/>
  <c r="E104" i="2"/>
  <c r="B95" i="2"/>
  <c r="F95" i="2" s="1"/>
  <c r="B94" i="2"/>
  <c r="F94" i="2" s="1"/>
  <c r="B93" i="2"/>
  <c r="F93" i="2" s="1"/>
  <c r="B91" i="2"/>
  <c r="F91" i="2" s="1"/>
  <c r="B89" i="2"/>
  <c r="F89" i="2" s="1"/>
  <c r="B87" i="2"/>
  <c r="F87" i="2" s="1"/>
  <c r="B74" i="2"/>
  <c r="B75" i="2" s="1"/>
  <c r="B71" i="2"/>
  <c r="B72" i="2" s="1"/>
  <c r="B67" i="2"/>
  <c r="B129" i="2" s="1"/>
  <c r="F129" i="2" s="1"/>
  <c r="B66" i="2"/>
  <c r="B90" i="2" s="1"/>
  <c r="F90" i="2" s="1"/>
  <c r="B65" i="2"/>
  <c r="B15" i="1" s="1"/>
  <c r="B64" i="2"/>
  <c r="B92" i="2" s="1"/>
  <c r="F92" i="2" s="1"/>
  <c r="B63" i="2"/>
  <c r="B61" i="2"/>
  <c r="B7" i="1" s="1"/>
  <c r="B60" i="2"/>
  <c r="B122" i="2" s="1"/>
  <c r="F122" i="2" s="1"/>
  <c r="F123" i="2" s="1"/>
  <c r="B26" i="1" s="1"/>
  <c r="C9" i="2"/>
  <c r="E101" i="3" l="1"/>
  <c r="B77" i="3"/>
  <c r="B95" i="3" s="1"/>
  <c r="F95" i="3" s="1"/>
  <c r="B14" i="1"/>
  <c r="B86" i="2"/>
  <c r="F86" i="2" s="1"/>
  <c r="B16" i="1"/>
  <c r="B88" i="2"/>
  <c r="F88" i="2" s="1"/>
  <c r="F96" i="2" s="1"/>
  <c r="B17" i="1"/>
  <c r="E88" i="3"/>
  <c r="B99" i="2"/>
  <c r="F99" i="2" s="1"/>
  <c r="B113" i="2"/>
  <c r="F113" i="2" s="1"/>
  <c r="F114" i="2" s="1"/>
  <c r="B24" i="1" s="1"/>
  <c r="C16" i="1"/>
  <c r="B127" i="2"/>
  <c r="F127" i="2" s="1"/>
  <c r="E102" i="3"/>
  <c r="E103" i="3"/>
  <c r="F103" i="3" s="1"/>
  <c r="B18" i="1"/>
  <c r="B9" i="2"/>
  <c r="E39" i="3"/>
  <c r="B92" i="3"/>
  <c r="F92" i="3" s="1"/>
  <c r="B93" i="3"/>
  <c r="F93" i="3" s="1"/>
  <c r="B73" i="2"/>
  <c r="B76" i="2"/>
  <c r="B51" i="3"/>
  <c r="B37" i="3"/>
  <c r="F37" i="3" s="1"/>
  <c r="B41" i="3"/>
  <c r="F41" i="3" s="1"/>
  <c r="B98" i="3"/>
  <c r="F98" i="3" s="1"/>
  <c r="B38" i="3"/>
  <c r="F38" i="3" s="1"/>
  <c r="B29" i="3"/>
  <c r="B100" i="2"/>
  <c r="F100" i="2" s="1"/>
  <c r="F101" i="2" s="1"/>
  <c r="B22" i="1" s="1"/>
  <c r="B128" i="2"/>
  <c r="F128" i="2" s="1"/>
  <c r="B77" i="2"/>
  <c r="B78" i="2" s="1"/>
  <c r="B79" i="2" s="1"/>
  <c r="B80" i="2" s="1"/>
  <c r="B6" i="1"/>
  <c r="B62" i="2"/>
  <c r="B68" i="2" s="1"/>
  <c r="B117" i="2"/>
  <c r="F117" i="2" s="1"/>
  <c r="F119" i="2" s="1"/>
  <c r="B25" i="1" s="1"/>
  <c r="B78" i="3"/>
  <c r="B90" i="3" s="1"/>
  <c r="F90" i="3" s="1"/>
  <c r="B8" i="3"/>
  <c r="E41" i="3"/>
  <c r="B81" i="2"/>
  <c r="B8" i="1" s="1"/>
  <c r="B21" i="1" l="1"/>
  <c r="B130" i="2"/>
  <c r="F130" i="2" s="1"/>
  <c r="F132" i="2" s="1"/>
  <c r="B27" i="1" s="1"/>
  <c r="B69" i="2"/>
  <c r="B84" i="3"/>
  <c r="F84" i="3" s="1"/>
  <c r="B87" i="3"/>
  <c r="F87" i="3" s="1"/>
  <c r="B86" i="3"/>
  <c r="F86" i="3" s="1"/>
  <c r="B88" i="3"/>
  <c r="F88" i="3" s="1"/>
  <c r="B52" i="3"/>
  <c r="B85" i="3" s="1"/>
  <c r="F85" i="3" s="1"/>
  <c r="B97" i="3"/>
  <c r="F97" i="3" s="1"/>
  <c r="B101" i="3"/>
  <c r="F101" i="3" s="1"/>
  <c r="B28" i="3"/>
  <c r="B30" i="3" s="1"/>
  <c r="B33" i="3" s="1"/>
  <c r="F33" i="3" s="1"/>
  <c r="B100" i="3"/>
  <c r="F100" i="3" s="1"/>
  <c r="B40" i="3"/>
  <c r="F40" i="3" s="1"/>
  <c r="B94" i="3"/>
  <c r="F94" i="3" s="1"/>
  <c r="B80" i="3"/>
  <c r="B36" i="3"/>
  <c r="F36" i="3" s="1"/>
  <c r="B39" i="3"/>
  <c r="F39" i="3" s="1"/>
  <c r="B35" i="3"/>
  <c r="F35" i="3" s="1"/>
  <c r="B34" i="3"/>
  <c r="F34" i="3" s="1"/>
  <c r="B81" i="3"/>
  <c r="B112" i="3" s="1"/>
  <c r="B89" i="3" l="1"/>
  <c r="F89" i="3" s="1"/>
  <c r="B102" i="3"/>
  <c r="F102" i="3" s="1"/>
  <c r="F42" i="3"/>
  <c r="B107" i="3" s="1"/>
  <c r="B6" i="2"/>
  <c r="B70" i="2"/>
  <c r="B11" i="1"/>
  <c r="F104" i="3" l="1"/>
  <c r="B108" i="3" s="1"/>
  <c r="B111" i="3"/>
  <c r="B109" i="3"/>
  <c r="B36" i="1"/>
  <c r="B35" i="1"/>
  <c r="B110" i="3"/>
  <c r="B13" i="1"/>
  <c r="B106" i="2"/>
  <c r="F106" i="2" s="1"/>
  <c r="B8" i="2"/>
  <c r="B12" i="1"/>
  <c r="B108" i="2"/>
  <c r="F108" i="2" s="1"/>
  <c r="B107" i="2"/>
  <c r="F107" i="2" s="1"/>
  <c r="B105" i="2"/>
  <c r="F105" i="2" s="1"/>
  <c r="B104" i="2"/>
  <c r="F104" i="2" s="1"/>
  <c r="B109" i="2"/>
  <c r="F109" i="2" s="1"/>
  <c r="B7" i="2"/>
  <c r="F110" i="2" l="1"/>
  <c r="B23" i="1" l="1"/>
  <c r="F134" i="2"/>
  <c r="B28" i="1" l="1"/>
  <c r="F135" i="2"/>
  <c r="F136" i="2"/>
  <c r="B30" i="1" l="1"/>
  <c r="B10" i="2"/>
  <c r="B29" i="1"/>
  <c r="F137" i="2"/>
</calcChain>
</file>

<file path=xl/sharedStrings.xml><?xml version="1.0" encoding="utf-8"?>
<sst xmlns="http://schemas.openxmlformats.org/spreadsheetml/2006/main" count="733" uniqueCount="467">
  <si>
    <t>Roof Panel — Materials &amp; Cost Summary</t>
  </si>
  <si>
    <t>Jamaica studio unit (Virtuoso prelim, scaled) · 25' × 21' lift-in-place cellular concrete roof panel on 600S162-68 studs</t>
  </si>
  <si>
    <t>See the detailed estimate →</t>
  </si>
  <si>
    <t>Panel</t>
  </si>
  <si>
    <t>Roof area</t>
  </si>
  <si>
    <t>Panel thickness</t>
  </si>
  <si>
    <t>2" cover + 1.5" channel + 6" stud + 2" cap</t>
  </si>
  <si>
    <t>Weight at pick (7-day, ground pour + steel)</t>
  </si>
  <si>
    <t>crane sizing figure</t>
  </si>
  <si>
    <t>Key quantities</t>
  </si>
  <si>
    <t>Cellular concrete, neat</t>
  </si>
  <si>
    <t>ground pour + top pour incl. slope</t>
  </si>
  <si>
    <t>Cellular concrete to order</t>
  </si>
  <si>
    <t>with waste allowance</t>
  </si>
  <si>
    <t>Portland cement on site</t>
  </si>
  <si>
    <t>at the lb/yd³ on the Estimate tab</t>
  </si>
  <si>
    <t>Studs</t>
  </si>
  <si>
    <t>600S162-68, each</t>
  </si>
  <si>
    <t>Stud length</t>
  </si>
  <si>
    <t>Channel rows / length</t>
  </si>
  <si>
    <t>Basalt mesh</t>
  </si>
  <si>
    <t>incl. lap</t>
  </si>
  <si>
    <t>Spacer blocks</t>
  </si>
  <si>
    <t>Cost by category</t>
  </si>
  <si>
    <t>Steel</t>
  </si>
  <si>
    <t>Mesh</t>
  </si>
  <si>
    <t>Concrete</t>
  </si>
  <si>
    <t>Spacers</t>
  </si>
  <si>
    <t>Form</t>
  </si>
  <si>
    <t>Membrane</t>
  </si>
  <si>
    <t>Labor</t>
  </si>
  <si>
    <t>Contingency</t>
  </si>
  <si>
    <t>TOTAL MATERIALS AND LABOR</t>
  </si>
  <si>
    <t>Cost per sf of roof</t>
  </si>
  <si>
    <t>Basis: concrete at 600 lb Portland/yd³, $200/yd³ cement + $20/yd³ foam (Ken, 6 Sep 2026). Steel at published list prices (US Frame Factory, May 2025) pending a quote. Eco Finish coating at $8/sf installed (Ken). Labor for steel and concrete at placeholder hours and rate. Other lines are placeholders. Excludes crane, pump, engineering, freight, tax.</t>
  </si>
  <si>
    <t>Green numbers link to the Estimate tab; change inputs and prices there.</t>
  </si>
  <si>
    <t>Floor options (see the Floor options tab)</t>
  </si>
  <si>
    <t>Option A — slab on grade</t>
  </si>
  <si>
    <t>not in the wall total above; with contingency</t>
  </si>
  <si>
    <t>Option B — footings + floor panel</t>
  </si>
  <si>
    <t>roof panel turned over, ground pour only</t>
  </si>
  <si>
    <t>Compare the floor options →</t>
  </si>
  <si>
    <t>Roof Panel — Materials Takeoff &amp; Cost Estimate</t>
  </si>
  <si>
    <t>Jamaica studio unit (Virtuoso prelim, scaled) · lift-in-place cellular concrete panel on 600S162-68 studs · generated 2026-09-06</t>
  </si>
  <si>
    <t>How to use: BLUE cells are the panel/mix inputs (they mirror panel.config.json); YELLOW cells are unit prices and assumptions — replace them with supplier quotes. Everything else is a formula.</t>
  </si>
  <si>
    <t>← Summary</t>
  </si>
  <si>
    <t>Key figures</t>
  </si>
  <si>
    <t>Cellular concrete, neat volume</t>
  </si>
  <si>
    <t>ground pour + top pour incl. slope, no waste</t>
  </si>
  <si>
    <t>with the waste % below</t>
  </si>
  <si>
    <t>at the lb/yd³ input</t>
  </si>
  <si>
    <t>Total materials + labor (with contingency)</t>
  </si>
  <si>
    <t>concrete and Eco Finish prices from Ken; steel at list; other prices and all labor are placeholders</t>
  </si>
  <si>
    <t>Panel inputs (from panel.config.json)</t>
  </si>
  <si>
    <t>Panel width</t>
  </si>
  <si>
    <t>in</t>
  </si>
  <si>
    <t>25' — grid 1 to 2</t>
  </si>
  <si>
    <t>Panel length (stud span)</t>
  </si>
  <si>
    <t>21' — grid A to B, studs span this way</t>
  </si>
  <si>
    <t>Bottom concrete cover (ceiling)</t>
  </si>
  <si>
    <t>Channel depth</t>
  </si>
  <si>
    <t>cold-rolled channel zone with the mesh</t>
  </si>
  <si>
    <t>Stud depth</t>
  </si>
  <si>
    <t>Top cap over studs (at drain edge)</t>
  </si>
  <si>
    <t>Ground pour depth</t>
  </si>
  <si>
    <t>cover + channel zone + 3" into the stud cavity</t>
  </si>
  <si>
    <t>Roof slope in the cap</t>
  </si>
  <si>
    <t>in/ft</t>
  </si>
  <si>
    <t>high end gets slope × length; average extra concrete = half of that</t>
  </si>
  <si>
    <t>Stud spacing</t>
  </si>
  <si>
    <t>in o.c.</t>
  </si>
  <si>
    <t>Stud flange width</t>
  </si>
  <si>
    <t>edge stud rule: last stud sits inside the edge</t>
  </si>
  <si>
    <t>Channel row spacing</t>
  </si>
  <si>
    <t>First/last channel row from the ends</t>
  </si>
  <si>
    <t>Screws per channel/stud crossing</t>
  </si>
  <si>
    <t>ea</t>
  </si>
  <si>
    <t>Screws per stud-to-track end</t>
  </si>
  <si>
    <t>assumption: 2 per flange each end (not in the model config)</t>
  </si>
  <si>
    <t>Embed spacing along each bearing wall</t>
  </si>
  <si>
    <t>Cast-in lift inserts</t>
  </si>
  <si>
    <t>Penetration sleeves</t>
  </si>
  <si>
    <t>plumbing vent 3", electrical 1.25"</t>
  </si>
  <si>
    <t>Bearing ends with uplift straps</t>
  </si>
  <si>
    <t>ends</t>
  </si>
  <si>
    <t>strap at every stud line at ends A and B (spec §5)</t>
  </si>
  <si>
    <t>Cellular concrete mix &amp; ordering assumptions</t>
  </si>
  <si>
    <t>Cast density</t>
  </si>
  <si>
    <t>pcf</t>
  </si>
  <si>
    <t>spec: 30–40 pcf; hand estimates use 35</t>
  </si>
  <si>
    <t>Portland cement per cubic yard</t>
  </si>
  <si>
    <t>lb/yd³</t>
  </si>
  <si>
    <t>per Ken, 6 Sep 2026; water makes up the rest of the cast density (no sand)</t>
  </si>
  <si>
    <t>Cement price per cubic yard of concrete</t>
  </si>
  <si>
    <t>$/yd³</t>
  </si>
  <si>
    <t>per Ken 6 Sep 2026: ≈ $200 per yd³ at 600 lb/yd³ — replace with the supplier quote</t>
  </si>
  <si>
    <t>Foam price per cubic yard of concrete</t>
  </si>
  <si>
    <t>per Ken 6 Sep 2026: ≈ $20 per yd³ — replace with the supplier quote</t>
  </si>
  <si>
    <t>Cement specific gravity</t>
  </si>
  <si>
    <t>Portland cement</t>
  </si>
  <si>
    <t>Cement sack weight</t>
  </si>
  <si>
    <t>lb</t>
  </si>
  <si>
    <t>US sack</t>
  </si>
  <si>
    <t>Foam expansion (foam volume : solution volume)</t>
  </si>
  <si>
    <t>: 1</t>
  </si>
  <si>
    <t>pre-formed foam generators typically 20–30 : 1</t>
  </si>
  <si>
    <t>Foam concentrate dilution</t>
  </si>
  <si>
    <t>fraction of solution</t>
  </si>
  <si>
    <t>2.5 % = 1 : 40 concentrate : water, per most foaming agents</t>
  </si>
  <si>
    <t>Foam concentrate pail size</t>
  </si>
  <si>
    <t>gal</t>
  </si>
  <si>
    <t>Concrete waste / over-order</t>
  </si>
  <si>
    <t>%</t>
  </si>
  <si>
    <t>pump line, form leakage, screed</t>
  </si>
  <si>
    <t>Mesh lap &amp; waste</t>
  </si>
  <si>
    <t>Mesh roll coverage</t>
  </si>
  <si>
    <t>sf/roll</t>
  </si>
  <si>
    <t>e.g. 3.3' × 164' roll; change to your supplier's roll</t>
  </si>
  <si>
    <t>Track stock length</t>
  </si>
  <si>
    <t>ft</t>
  </si>
  <si>
    <t>Channel stock length</t>
  </si>
  <si>
    <t>CRC is sold in 10 ft and 16 ft pieces</t>
  </si>
  <si>
    <t>Closure track stock length</t>
  </si>
  <si>
    <t>Contingency on materials</t>
  </si>
  <si>
    <t>Labor assumptions (placeholders — set your crew rate and productivity)</t>
  </si>
  <si>
    <t>Loaded labor rate</t>
  </si>
  <si>
    <t>$/man-hour</t>
  </si>
  <si>
    <t>wages + burden; one rate for every labor line (type a different rate on a line if needed)</t>
  </si>
  <si>
    <t>Form and liner setup</t>
  </si>
  <si>
    <t>man-hours</t>
  </si>
  <si>
    <t>level the pad, edge forms, liner, sleeves</t>
  </si>
  <si>
    <t>Steel framing</t>
  </si>
  <si>
    <t>man-hours / sf</t>
  </si>
  <si>
    <t>track, studs, channel rows, screws, inserts — flat assembly on the ground</t>
  </si>
  <si>
    <t>Mesh and spacers</t>
  </si>
  <si>
    <t>Ground pour (mix and place cellular concrete)</t>
  </si>
  <si>
    <t>man-hours / yd³</t>
  </si>
  <si>
    <t>foam generator + mixer + placing crew</t>
  </si>
  <si>
    <t>Top pour on the roof (pump and screed to slope)</t>
  </si>
  <si>
    <t>Pick day: rigging, set, straps and embeds</t>
  </si>
  <si>
    <t>crew on the ground and on the wall; crane time is separate</t>
  </si>
  <si>
    <t>Derived quantities (formulas)</t>
  </si>
  <si>
    <t>Panel area</t>
  </si>
  <si>
    <t>sf</t>
  </si>
  <si>
    <t>Total stack thickness</t>
  </si>
  <si>
    <t>spec: 2 + 1.5 + 6 + 2 = 11.5</t>
  </si>
  <si>
    <t>Top pour depth (at drain edge)</t>
  </si>
  <si>
    <t>Average extra depth from the slope</t>
  </si>
  <si>
    <t>Number of studs</t>
  </si>
  <si>
    <t>studs at 0, spacing, 2×spacing … plus the closing edge stud (matches the model)</t>
  </si>
  <si>
    <t>Stud cut length</t>
  </si>
  <si>
    <t>full span; order cut-to-length or the next stock length</t>
  </si>
  <si>
    <t>Channel rows</t>
  </si>
  <si>
    <t>rows from the first station at row spacing, plus a closing row at the far end (matches the model)</t>
  </si>
  <si>
    <t>Ground pour volume</t>
  </si>
  <si>
    <t>yd³</t>
  </si>
  <si>
    <t>cast in the form</t>
  </si>
  <si>
    <t>Top pour volume (incl. slope)</t>
  </si>
  <si>
    <t>cast on the roof</t>
  </si>
  <si>
    <t>Total cellular concrete, neat</t>
  </si>
  <si>
    <t>Total cellular concrete to order</t>
  </si>
  <si>
    <t>with waste</t>
  </si>
  <si>
    <t>Cement content</t>
  </si>
  <si>
    <t>lb/ft³</t>
  </si>
  <si>
    <t>from the lb/yd³ input</t>
  </si>
  <si>
    <t>Water content</t>
  </si>
  <si>
    <t>density − cement (neat mix, no sand)</t>
  </si>
  <si>
    <t>Resulting water/cement ratio</t>
  </si>
  <si>
    <t>ratio</t>
  </si>
  <si>
    <t>check with the supplier: 0.50–0.60 is the usual range for foam concrete</t>
  </si>
  <si>
    <t>Cement per cubic yard</t>
  </si>
  <si>
    <t>Cement sacks per cubic yard</t>
  </si>
  <si>
    <t>sacks/yd³</t>
  </si>
  <si>
    <t>Water per cubic yard</t>
  </si>
  <si>
    <t>gal/yd³</t>
  </si>
  <si>
    <t>Air (foam) fraction</t>
  </si>
  <si>
    <t>fraction</t>
  </si>
  <si>
    <t>what is left after cement and water solids</t>
  </si>
  <si>
    <t>Foam volume per cubic yard</t>
  </si>
  <si>
    <t>ft³/yd³</t>
  </si>
  <si>
    <t>Foam solution per cubic yard</t>
  </si>
  <si>
    <t>foam volume ÷ expansion</t>
  </si>
  <si>
    <t>Foam concentrate per cubic yard</t>
  </si>
  <si>
    <t>Panel weight at pick (ground pour + steel)</t>
  </si>
  <si>
    <t>spec §4: ~12,000 lb; 4 psf steel allowance</t>
  </si>
  <si>
    <t>Materials &amp; cost</t>
  </si>
  <si>
    <t>Item</t>
  </si>
  <si>
    <t>Qty</t>
  </si>
  <si>
    <t>Unit</t>
  </si>
  <si>
    <t>Spec / size</t>
  </si>
  <si>
    <t>Unit cost ($)</t>
  </si>
  <si>
    <t>Extended ($)</t>
  </si>
  <si>
    <t>Basis / notes</t>
  </si>
  <si>
    <t>STEEL</t>
  </si>
  <si>
    <t>Studs 600S162-68</t>
  </si>
  <si>
    <t>lf</t>
  </si>
  <si>
    <t>6" web, 1.625" flange, 68 mil (14 ga) 50 ksi</t>
  </si>
  <si>
    <t>$2.42/lf - US Frame Factory published list, updated 5/1/2025 (usframefactory.com/current-metal-stud-pricing); a quote is still needed; = studs x cut length (20 pcs x 21 ft in the model)</t>
  </si>
  <si>
    <t>End track 600T150-68</t>
  </si>
  <si>
    <t>6" web, 1.5" leg, 68 mil</t>
  </si>
  <si>
    <t>assumed at the 68-mil stud rate; the same list shows 600T200-54 (16 ga) at $1.94/lf — US Frame Factory published list, updated 5/1/2025 (usframefactory.com/current-metal-stud-pricing); a quote is still needed; both ends, whole stock pieces</t>
  </si>
  <si>
    <t>Cold-rolled channel 1.5"</t>
  </si>
  <si>
    <t>1.5" x 0.5" CRC 150U050-54, 54 mil (16 ga)</t>
  </si>
  <si>
    <t>$11.67 per 16 ft piece = $0.73/lf - US Frame Factory published list, updated 5/1/2025 (usframefactory.com/current-metal-stud-pricing); a quote is still needed; rows x whole stock pieces per row</t>
  </si>
  <si>
    <t>Edge closure (closure-track)</t>
  </si>
  <si>
    <t>6" closure track around the perimeter</t>
  </si>
  <si>
    <t>placeholder price — replace with a quote; spec §5 edge closure so the top pour stays on the panel</t>
  </si>
  <si>
    <t>Screws, channel to stud</t>
  </si>
  <si>
    <t>#10-16 self-drilling, up through the channel into the stud flange</t>
  </si>
  <si>
    <t>placeholder price — replace with a quote; rows × studs × screws per crossing</t>
  </si>
  <si>
    <t>Screws, stud to track</t>
  </si>
  <si>
    <t>#10-16 self-drilling</t>
  </si>
  <si>
    <t>placeholder price — replace with a quote; studs × 2 ends × screws per end</t>
  </si>
  <si>
    <t>Uplift straps</t>
  </si>
  <si>
    <t>1.5" strap, L over the panel edge to the bond beam (PE to size)</t>
  </si>
  <si>
    <t>placeholder price — replace with a quote; one per stud line at each bearing end</t>
  </si>
  <si>
    <t>Embed plates in bond beams</t>
  </si>
  <si>
    <t>plate + anchors @ 48" in the printed-wall bond beam</t>
  </si>
  <si>
    <t>placeholder price — replace with a quote; both bearing walls; PE to detail</t>
  </si>
  <si>
    <t>Lift inserts (cast-in-swift-lift)</t>
  </si>
  <si>
    <t>2 rows at 0.2 L, on stud lines; capacity per PE and the ~12,000 lb pick</t>
  </si>
  <si>
    <t>placeholder price — replace with a quote</t>
  </si>
  <si>
    <t>plumbing vent + electrical, set before the ground pour</t>
  </si>
  <si>
    <t>placeholder price — replace with a quote; sizes per the config</t>
  </si>
  <si>
    <t>Steel subtotal</t>
  </si>
  <si>
    <t>MESH</t>
  </si>
  <si>
    <t>1" grid, laid on the channel under the stud flanges (spec open item 3)</t>
  </si>
  <si>
    <t>placeholder price — replace with a quote; area × (1 + lap) × layers</t>
  </si>
  <si>
    <t>Mesh rolls to order</t>
  </si>
  <si>
    <t>rolls</t>
  </si>
  <si>
    <t>whole rolls at the roll coverage above</t>
  </si>
  <si>
    <t>info line: price the mesh by sf above OR by roll here (set one of the two prices to 0)</t>
  </si>
  <si>
    <t>Mesh subtotal</t>
  </si>
  <si>
    <t>CELLULAR CONCRETE (site-mixed: Portland cement + water + pre-formed foam)</t>
  </si>
  <si>
    <t>35 pcf mix at the lb/yd³ above; Type I/II</t>
  </si>
  <si>
    <t>yd³ × the cement price per yd³ in the mix block (Ken, 6 Sep 2026)</t>
  </si>
  <si>
    <t>Foam (pre-formed, incl. concentrate)</t>
  </si>
  <si>
    <t>foaming agent + generator use, per yd³ placed</t>
  </si>
  <si>
    <t>yd³ × the foam price per yd³ in the mix block (Ken, 6 Sep 2026)</t>
  </si>
  <si>
    <t xml:space="preserve">   Cement weight (info)</t>
  </si>
  <si>
    <t>total Portland to have on site</t>
  </si>
  <si>
    <t>info: = yd³ to order × lb/yd³; ÷ sack weight for sacks, ÷ 2000 for tons</t>
  </si>
  <si>
    <t xml:space="preserve">   Cement sacks (info)</t>
  </si>
  <si>
    <t>sacks</t>
  </si>
  <si>
    <t>94-lb sacks</t>
  </si>
  <si>
    <t>info only — the cement is already priced per yd³ above</t>
  </si>
  <si>
    <t xml:space="preserve">   Foam concentrate (info)</t>
  </si>
  <si>
    <t>at the expansion and dilution assumptions above</t>
  </si>
  <si>
    <t>info only — the foam is already priced per yd³ above</t>
  </si>
  <si>
    <t xml:space="preserve">   Water (info)</t>
  </si>
  <si>
    <t>mix water</t>
  </si>
  <si>
    <t>info — usually free on site</t>
  </si>
  <si>
    <t>Concrete subtotal</t>
  </si>
  <si>
    <t>SPACERS</t>
  </si>
  <si>
    <t>Spacer blocks 2" tall</t>
  </si>
  <si>
    <t>4" × 4" × 2" chairs/blocks under every channel row at each stud line</t>
  </si>
  <si>
    <t>placeholder price — replace with a quote; rows × studs</t>
  </si>
  <si>
    <t>Spacers subtotal</t>
  </si>
  <si>
    <t>FORM (reusable)</t>
  </si>
  <si>
    <t>Plastic liner</t>
  </si>
  <si>
    <t>6-mil poly on the ground slab, 10 % lap</t>
  </si>
  <si>
    <t>Edge form lumber</t>
  </si>
  <si>
    <t>2×8 (8" tall) around the perimeter, staked</t>
  </si>
  <si>
    <t>Form subtotal</t>
  </si>
  <si>
    <t>ROOF MEMBRANE</t>
  </si>
  <si>
    <t>Eco Finish spray-applied roof coating</t>
  </si>
  <si>
    <t>industrial coating over the cap, turned down over the edge closure (spec §1)</t>
  </si>
  <si>
    <t>per Ken 6 Sep 2026: $8.00 per sf installed; on the roof area</t>
  </si>
  <si>
    <t>Membrane subtotal</t>
  </si>
  <si>
    <t>LABOR (steel and concrete install)</t>
  </si>
  <si>
    <t>per the labor assumptions above</t>
  </si>
  <si>
    <t>hours × loaded rate</t>
  </si>
  <si>
    <t>Steel framing (track, studs, channel, screws, inserts)</t>
  </si>
  <si>
    <t>area × man-hours per sf</t>
  </si>
  <si>
    <t>Ground pour</t>
  </si>
  <si>
    <t>yd³ placed × man-hours per yd³</t>
  </si>
  <si>
    <t>Top pour on the roof</t>
  </si>
  <si>
    <t>Pick day: rigging, set, anchor</t>
  </si>
  <si>
    <t>hours × loaded rate; crane and rigging rental NOT included</t>
  </si>
  <si>
    <t>Labor subtotal</t>
  </si>
  <si>
    <t>Materials and labor subtotal</t>
  </si>
  <si>
    <t>Excludes: crane and rigging rental, spreader frame, concrete pump rental, PE fees, freight, tax. Labor hours and the rate are placeholders — set them in the Labor assumptions block.</t>
  </si>
  <si>
    <t>Prices are placeholders typed in by Claude on 2026-09-06 for order-of-magnitude only; none is a quote. Replace every yellow price cell.</t>
  </si>
  <si>
    <t>Floor options — slab on grade vs. footings + floor panel</t>
  </si>
  <si>
    <t>Same plan as the roof panel (the building it covers). Option A pours a slab on grade with a thickened edge under the walls. Option B pours strip footings only and drops in a floor panel: the roof panel turned finish-face UP, cast with its ground pour only (studs left open underneath, not filled). Yellow = assumptions and placeholder prices; green = linked to the Estimate tab.</t>
  </si>
  <si>
    <t>Shared inputs</t>
  </si>
  <si>
    <t>Footprint X</t>
  </si>
  <si>
    <t>linked to the roof panel plan size on the Estimate tab</t>
  </si>
  <si>
    <t>Footprint Z</t>
  </si>
  <si>
    <t>Floor area (outside of walls)</t>
  </si>
  <si>
    <t>Perimeter under the walls</t>
  </si>
  <si>
    <t>linked to the Estimate labor rate</t>
  </si>
  <si>
    <t>Ready-mix concrete (3,000 psi, delivered)</t>
  </si>
  <si>
    <t>placeholder — local ready-mix quote</t>
  </si>
  <si>
    <t>Gravel base</t>
  </si>
  <si>
    <t>placeholder</t>
  </si>
  <si>
    <t>#4 rebar</t>
  </si>
  <si>
    <t>$/lf</t>
  </si>
  <si>
    <t>6×6 welded wire mesh</t>
  </si>
  <si>
    <t>$/sf</t>
  </si>
  <si>
    <t>Vapor barrier</t>
  </si>
  <si>
    <t>Edge / footing forms</t>
  </si>
  <si>
    <t>placeholder, reusable lumber</t>
  </si>
  <si>
    <t>linked to the Estimate</t>
  </si>
  <si>
    <t>Slab thickness</t>
  </si>
  <si>
    <t>assumption</t>
  </si>
  <si>
    <t>Thickened edge width (under the walls)</t>
  </si>
  <si>
    <t>assumption: turned-down edge for the wall bearing</t>
  </si>
  <si>
    <t>Thickened edge depth below the slab</t>
  </si>
  <si>
    <t>Gravel base thickness</t>
  </si>
  <si>
    <t>#4 bars in the thickened edge</t>
  </si>
  <si>
    <t>continuous, assumption</t>
  </si>
  <si>
    <t>Base prep and vapor barrier</t>
  </si>
  <si>
    <t>Place and finish the slab</t>
  </si>
  <si>
    <t>assumption: pump/chute, screed, trowel</t>
  </si>
  <si>
    <t>Edge forms and edge steel</t>
  </si>
  <si>
    <t>man-hours / lf</t>
  </si>
  <si>
    <t>Slab concrete</t>
  </si>
  <si>
    <t>Thickened edge concrete</t>
  </si>
  <si>
    <t>Option A concrete to order</t>
  </si>
  <si>
    <t>with the Estimate waste %</t>
  </si>
  <si>
    <t>Spec / basis</t>
  </si>
  <si>
    <t>Notes</t>
  </si>
  <si>
    <t>Ready-mix concrete, slab + thickened edge</t>
  </si>
  <si>
    <t>3,000 psi normal weight</t>
  </si>
  <si>
    <t>compacted, 10 % extra</t>
  </si>
  <si>
    <t>10-mil poly, 10 % lap</t>
  </si>
  <si>
    <t>Welded wire mesh</t>
  </si>
  <si>
    <t>6×6 W1.4, 10 % lap</t>
  </si>
  <si>
    <t>#4 rebar in the edge</t>
  </si>
  <si>
    <t>continuous, 10 % laps</t>
  </si>
  <si>
    <t>Edge forms</t>
  </si>
  <si>
    <t>reusable lumber</t>
  </si>
  <si>
    <t>Labor: base prep + vapor barrier</t>
  </si>
  <si>
    <t>hours × rate</t>
  </si>
  <si>
    <t>Labor: place and finish</t>
  </si>
  <si>
    <t>Labor: edge forms and steel</t>
  </si>
  <si>
    <t>Option A subtotal</t>
  </si>
  <si>
    <t>Option B — strip footings + floor panel (roof panel turned over, ground pour only)</t>
  </si>
  <si>
    <t>Footing width</t>
  </si>
  <si>
    <t>assumption: strip footing under each wall line</t>
  </si>
  <si>
    <t>Footing depth</t>
  </si>
  <si>
    <t>Midspan footing / beam line under the floor panel</t>
  </si>
  <si>
    <t>yes = 1</t>
  </si>
  <si>
    <t>the roof spec found a 6" stud cannot clear-span ~21'; the floor panel needs a bearing line mid-span (length = footprint X)</t>
  </si>
  <si>
    <t>#4 bars per footing</t>
  </si>
  <si>
    <t>Footing excavation</t>
  </si>
  <si>
    <t>placeholder, machine dig</t>
  </si>
  <si>
    <t>Labor: form, steel, place footings</t>
  </si>
  <si>
    <t>Footing length</t>
  </si>
  <si>
    <t>Footing concrete to order</t>
  </si>
  <si>
    <t>Floor panel (from the roof-panel design, docs/spec-v1.md)</t>
  </si>
  <si>
    <t>Bottom cover = finished floor face (cast on the liner, turned up)</t>
  </si>
  <si>
    <t>Ground pour (cover + channel + 3" into the studs)</t>
  </si>
  <si>
    <t>linked to the Estimate — the floor panel is NOT filled further</t>
  </si>
  <si>
    <t>Stud flange</t>
  </si>
  <si>
    <t>Channel row spacing / first row</t>
  </si>
  <si>
    <t>linked to the Estimate (first row 12" in)</t>
  </si>
  <si>
    <t>Lift inserts</t>
  </si>
  <si>
    <t>Stud 600S162-68 (14 ga)</t>
  </si>
  <si>
    <t>US Frame Factory list 5/1/2025 — not a quote</t>
  </si>
  <si>
    <t>Track 600T150-68</t>
  </si>
  <si>
    <t>assumed at the 68-mil stud rate</t>
  </si>
  <si>
    <t>Cold-rolled channel 1-1/2" 16 ga</t>
  </si>
  <si>
    <t>$11.67 per 16 ft piece, same list</t>
  </si>
  <si>
    <t>Screws</t>
  </si>
  <si>
    <t>$/ea</t>
  </si>
  <si>
    <t>Ground form: liner</t>
  </si>
  <si>
    <t>Ground form: edge lumber</t>
  </si>
  <si>
    <t>Crane and rigging for the pick (day)</t>
  </si>
  <si>
    <t>$/day</t>
  </si>
  <si>
    <t>placeholder — same crane class as the roof pick</t>
  </si>
  <si>
    <t>Labor: framing</t>
  </si>
  <si>
    <t>roof v6 basis</t>
  </si>
  <si>
    <t>Labor: mesh and spacers</t>
  </si>
  <si>
    <t>Labor: ground pour</t>
  </si>
  <si>
    <t>Labor: pick day, set and level on the footings</t>
  </si>
  <si>
    <t>across footprint X, plus the closing stud</t>
  </si>
  <si>
    <t>Stud length (spans footprint Z)</t>
  </si>
  <si>
    <t>bears on the two end footings and the midspan line</t>
  </si>
  <si>
    <t>Floor panel concrete to order</t>
  </si>
  <si>
    <t>ground pour only, with waste</t>
  </si>
  <si>
    <t>Floor panel weight at pick</t>
  </si>
  <si>
    <t>concrete + 4 psf steel</t>
  </si>
  <si>
    <t>strip footings + midspan line</t>
  </si>
  <si>
    <t>Ready-mix concrete, footings</t>
  </si>
  <si>
    <t>3,000 psi</t>
  </si>
  <si>
    <t>#4 rebar in the footings</t>
  </si>
  <si>
    <t>Footing forms</t>
  </si>
  <si>
    <t>both sides</t>
  </si>
  <si>
    <t>Labor: footings</t>
  </si>
  <si>
    <t>Cellular concrete, ground pour (cement + foam)</t>
  </si>
  <si>
    <t>Ken's basis: 600 lb/yd³, $200 + $20 per yd³</t>
  </si>
  <si>
    <t>studs × length</t>
  </si>
  <si>
    <t>both ends</t>
  </si>
  <si>
    <t>Cold-rolled channel</t>
  </si>
  <si>
    <t>rows × width</t>
  </si>
  <si>
    <t>2 per crossing</t>
  </si>
  <si>
    <t>one layer, with lap</t>
  </si>
  <si>
    <t>rows × studs</t>
  </si>
  <si>
    <t>cast-in</t>
  </si>
  <si>
    <t>Ground form liner</t>
  </si>
  <si>
    <t>10 % lap</t>
  </si>
  <si>
    <t>Ground form edge lumber</t>
  </si>
  <si>
    <t>perimeter</t>
  </si>
  <si>
    <t>Crane and rigging, pick day</t>
  </si>
  <si>
    <t>day</t>
  </si>
  <si>
    <t>mid-size hydraulic crane</t>
  </si>
  <si>
    <t>Labor: pick, set and level</t>
  </si>
  <si>
    <t>Option B subtotal</t>
  </si>
  <si>
    <t>Comparison</t>
  </si>
  <si>
    <t>Option A — slab on grade, with contingency</t>
  </si>
  <si>
    <t>Option B — footings + floor panel, with contingency</t>
  </si>
  <si>
    <t>Difference (B − A)</t>
  </si>
  <si>
    <t>Option A per sf of floor</t>
  </si>
  <si>
    <t>Option B per sf of floor</t>
  </si>
  <si>
    <t>Option B floor panel weight at pick</t>
  </si>
  <si>
    <t>What Option B buys that A does not: a finished, insulated (~R-1.5/in) cellular-concrete floor over an open crawl space instead of concrete on grade; the panel is the roof design turned over, so the studs and the open cavity face down and are not filled.</t>
  </si>
  <si>
    <t>What Option A buys that B does not: no crane day, no 7-day panel cure before the walls go up, a slab that also serves as the casting pad for the wall bed.</t>
  </si>
  <si>
    <t>Not in either option: excavation for the slab itself, under-slab plumbing, floor finish, the midspan line as a printed wall or steel beam (Option B carries it as a strip footing only), engineering.</t>
  </si>
  <si>
    <t>Quantities computed by the 3D model (docs/takeoff.json)</t>
  </si>
  <si>
    <t>generated 2026-09-06T19:45:48.900Z from public/config/panel.config.json · regenerate with `npm run takeoff`; use this to cross-check the Estimate formulas</t>
  </si>
  <si>
    <t>Model value</t>
  </si>
  <si>
    <t>Note</t>
  </si>
  <si>
    <t>Panel length</t>
  </si>
  <si>
    <t>Stack thickness</t>
  </si>
  <si>
    <t>2 + 1.5 + 6 + 2</t>
  </si>
  <si>
    <t>6.5" deep</t>
  </si>
  <si>
    <t>Top pour incl. slope</t>
  </si>
  <si>
    <t>5" + 0.656" average slope</t>
  </si>
  <si>
    <t>Total cellular concrete (neat)</t>
  </si>
  <si>
    <t>before waste</t>
  </si>
  <si>
    <t>600S162-68</t>
  </si>
  <si>
    <t>full span</t>
  </si>
  <si>
    <t>Stud total</t>
  </si>
  <si>
    <t>End track</t>
  </si>
  <si>
    <t>600T150-68</t>
  </si>
  <si>
    <t>1.5" cold-rolled channel, 54 mil</t>
  </si>
  <si>
    <t>Channel total</t>
  </si>
  <si>
    <t>Closure track (perimeter)</t>
  </si>
  <si>
    <t>4" × 2"</t>
  </si>
  <si>
    <t>cast-in-swift-lift</t>
  </si>
  <si>
    <t>both bearing ends</t>
  </si>
  <si>
    <t>Embed plates</t>
  </si>
  <si>
    <t>both bearing walls</t>
  </si>
  <si>
    <t>Sleeves</t>
  </si>
  <si>
    <t>Mesh area (one layer, no lap)</t>
  </si>
  <si>
    <t>basalt</t>
  </si>
  <si>
    <t>Form liner</t>
  </si>
  <si>
    <t>Edge form</t>
  </si>
  <si>
    <t>8" tall</t>
  </si>
  <si>
    <t>Basis</t>
  </si>
  <si>
    <t>• Geometry: docs/spec-v1.md (Lens 1 spec, 6 Sep 2026) and public/config/panel.config.json — the same numbers the 3D model renders.</t>
  </si>
  <si>
    <t>• Stud count rule: studs at 0, 16, 32 … across the width plus a closing edge stud; channel rows from 12" in at 48" plus a closing row 12" from the far end. The Estimate formulas reproduce the model; the Model takeoff sheet is the cross-check.</t>
  </si>
  <si>
    <t>• Cellular concrete: neat cement + water + pre-formed foam at the cast density. Cement = density ÷ (1 + w/c). Foam = the volume left after cement and water solids, ÷ expansion ratio, × concentrate dilution. Confirm density, w/c and 7-day strength with the supplier (spec open item 5).</t>
  </si>
  <si>
    <t>• Volumes ignore the steel and sleeve displacement (well under 1 %).</t>
  </si>
  <si>
    <t>What is NOT in this estimate</t>
  </si>
  <si>
    <t>• Crane + rigging (mid-size hydraulic, 40–60 t class per spec §4), spreader frame, concrete pump rental, PE engineering, freight, tax. Labor for the steel and concrete install IS included at placeholder productivity and a $35/hr loaded rate — set your own in the Labor assumptions block. The Eco Finish roof coating is included at $8.00/sf installed per Ken.</t>
  </si>
  <si>
    <t>• Second mesh layer in the cap (spec §5 option) — set mesh.topLayer in the config and rerun, or double the mesh line.</t>
  </si>
  <si>
    <t>Steel price reference (not a quote)</t>
  </si>
  <si>
    <t>• Studs, track and channel unit prices are US Frame Factory's published list, updated 5/1/2025 (usframefactory.com/current-metal-stud-pricing): 600S162-68 $2.42/lf, 600S162-54 $1.94/lf, 600T200-54 $1.94/lf, CRC 150U50-54 $11.67 per 16 ft piece. 68-mil track was not listed and is carried at the stud rate.</t>
  </si>
  <si>
    <t>• The same company quotes container shipping to the Port of Kingston, Jamaica at $2,965 CIF (cost, insurance, freight), tariff-free under CARICOM, from their South Louisiana plant; 15-30 days transit (usframefactory.com/steel-framing-shipped-internationally). Freight is NOT in this estimate.</t>
  </si>
  <si>
    <t>• Other distributors listing the same sections (prices on request): Capital Materials, JB Materials, Pioneer Materials West, Tamarack Materials, Rocky Top Materials; in Kingston, Allied Steel Buildings has a warehouse.</t>
  </si>
  <si>
    <t>How to update</t>
  </si>
  <si>
    <t>• Change any blue input and the quantities recalculate; replace every yellow price with a quote.</t>
  </si>
  <si>
    <t>• If the config changes (two sections, 10" studs, different spacing): run `npm run takeoff` then `python scripts/build-estimate.py` to regenerate this workbook, or just edit the blue inputs.</t>
  </si>
  <si>
    <t>Open items that move the numbers (spec §6): channel screw pattern and row spacing (PE), midspan bearing position, basalt mesh spec, design wind speed, cellular concrete mix.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</si>
</sst>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0.0000"/>
    <numFmt numFmtId="165" formatCode="\$#,##0.00"/>
    <numFmt numFmtId="166" formatCode="0.0%"/>
    <numFmt numFmtId="167" formatCode="0.0"/>
    <numFmt numFmtId="168" formatCode="#,##0.0"/>
    <numFmt numFmtId="169" formatCode="0.000"/>
    <numFmt numFmtId="170" formatCode="\$#,##0"/>
    <numFmt numFmtId="171" formatCode="#,##0.0\ &quot;yd³&quot;"/>
    <numFmt numFmtId="172" formatCode="#,##0\ &quot;lb&quot;"/>
    <numFmt numFmtId="173" formatCode="0\ &quot;pcs&quot;"/>
    <numFmt numFmtId="174" formatCode="0.0\ &quot;ft each&quot;"/>
    <numFmt numFmtId="175" formatCode="#,##0\ &quot;sf&quot;"/>
    <numFmt numFmtId="176" formatCode="0.0\ &quot;in&quot;"/>
    <numFmt numFmtId="177" formatCode="0.0\ &quot;ft&quot;"/>
    <numFmt numFmtId="178" formatCode="0\ &quot;rows&quot;"/>
    <numFmt numFmtId="179" formatCode="#,##0\ &quot;lf&quot;"/>
    <numFmt numFmtId="180" formatCode="0\ &quot;ea&quot;"/>
    <numFmt numFmtId="181" formatCode="\$#,##0;\(\$#,##0\);\-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</font>
    <font>
      <i/>
      <sz val="9"/>
      <color rgb="FF555555"/>
      <name val="Arial"/>
    </font>
    <font>
      <b/>
      <sz val="11"/>
      <color rgb="FFFFFFFF"/>
      <name val="Arial"/>
    </font>
    <font>
      <sz val="10"/>
      <name val="Arial"/>
    </font>
    <font>
      <sz val="10"/>
      <color rgb="FF0000FF"/>
      <name val="Arial"/>
    </font>
    <font>
      <b/>
      <sz val="10"/>
      <name val="Arial"/>
    </font>
    <font>
      <b/>
      <sz val="11"/>
      <name val="Arial"/>
    </font>
    <font>
      <b/>
      <sz val="16"/>
      <name val="Arial"/>
    </font>
    <font>
      <u/>
      <sz val="10"/>
      <color rgb="FF0000FF"/>
      <name val="Arial"/>
    </font>
    <font>
      <sz val="10"/>
      <color rgb="FF008000"/>
      <name val="Arial"/>
    </font>
    <font>
      <b/>
      <sz val="12"/>
      <name val="Arial"/>
    </font>
    <font>
      <b/>
      <sz val="12"/>
      <color rgb="FF008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2B5797"/>
      </patternFill>
    </fill>
    <fill>
      <patternFill patternType="solid">
        <fgColor rgb="FFFFFF00"/>
      </patternFill>
    </fill>
    <fill>
      <patternFill patternType="solid">
        <fgColor rgb="FFDCE6F1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8" fillId="0" borderId="0" xfId="0" applyFont="1"/>
    <xf numFmtId="0" fontId="2" fillId="0" borderId="0" xfId="0" applyFont="1"/>
    <xf numFmtId="0" fontId="9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175" fontId="10" fillId="0" borderId="1" xfId="0" applyNumberFormat="1" applyFont="1" applyBorder="1"/>
    <xf numFmtId="176" fontId="10" fillId="0" borderId="1" xfId="0" applyNumberFormat="1" applyFont="1" applyBorder="1"/>
    <xf numFmtId="172" fontId="10" fillId="0" borderId="1" xfId="0" applyNumberFormat="1" applyFont="1" applyBorder="1"/>
    <xf numFmtId="171" fontId="10" fillId="0" borderId="1" xfId="0" applyNumberFormat="1" applyFont="1" applyBorder="1"/>
    <xf numFmtId="173" fontId="10" fillId="0" borderId="1" xfId="0" applyNumberFormat="1" applyFont="1" applyBorder="1"/>
    <xf numFmtId="177" fontId="10" fillId="0" borderId="1" xfId="0" applyNumberFormat="1" applyFont="1" applyBorder="1"/>
    <xf numFmtId="178" fontId="10" fillId="0" borderId="1" xfId="0" applyNumberFormat="1" applyFont="1" applyBorder="1"/>
    <xf numFmtId="179" fontId="10" fillId="0" borderId="0" xfId="0" applyNumberFormat="1" applyFont="1"/>
    <xf numFmtId="180" fontId="10" fillId="0" borderId="1" xfId="0" applyNumberFormat="1" applyFont="1" applyBorder="1"/>
    <xf numFmtId="170" fontId="10" fillId="0" borderId="1" xfId="0" applyNumberFormat="1" applyFont="1" applyBorder="1"/>
    <xf numFmtId="0" fontId="11" fillId="5" borderId="0" xfId="0" applyFont="1" applyFill="1"/>
    <xf numFmtId="170" fontId="12" fillId="5" borderId="1" xfId="0" applyNumberFormat="1" applyFont="1" applyFill="1" applyBorder="1"/>
    <xf numFmtId="0" fontId="0" fillId="5" borderId="0" xfId="0" applyFill="1"/>
    <xf numFmtId="165" fontId="10" fillId="0" borderId="1" xfId="0" applyNumberFormat="1" applyFont="1" applyBorder="1"/>
    <xf numFmtId="0" fontId="1" fillId="0" borderId="0" xfId="0" applyFont="1"/>
    <xf numFmtId="0" fontId="6" fillId="0" borderId="0" xfId="0" applyFont="1"/>
    <xf numFmtId="171" fontId="6" fillId="0" borderId="1" xfId="0" applyNumberFormat="1" applyFont="1" applyBorder="1"/>
    <xf numFmtId="172" fontId="6" fillId="0" borderId="1" xfId="0" applyNumberFormat="1" applyFont="1" applyBorder="1"/>
    <xf numFmtId="173" fontId="6" fillId="0" borderId="1" xfId="0" applyNumberFormat="1" applyFont="1" applyBorder="1"/>
    <xf numFmtId="174" fontId="0" fillId="0" borderId="0" xfId="0" applyNumberFormat="1"/>
    <xf numFmtId="170" fontId="6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0" fontId="5" fillId="3" borderId="1" xfId="0" applyFont="1" applyFill="1" applyBorder="1"/>
    <xf numFmtId="3" fontId="5" fillId="3" borderId="1" xfId="0" applyNumberFormat="1" applyFont="1" applyFill="1" applyBorder="1"/>
    <xf numFmtId="165" fontId="5" fillId="3" borderId="1" xfId="0" applyNumberFormat="1" applyFont="1" applyFill="1" applyBorder="1"/>
    <xf numFmtId="2" fontId="5" fillId="3" borderId="1" xfId="0" applyNumberFormat="1" applyFont="1" applyFill="1" applyBorder="1"/>
    <xf numFmtId="166" fontId="5" fillId="3" borderId="1" xfId="0" applyNumberFormat="1" applyFont="1" applyFill="1" applyBorder="1"/>
    <xf numFmtId="9" fontId="5" fillId="3" borderId="1" xfId="0" applyNumberFormat="1" applyFont="1" applyFill="1" applyBorder="1"/>
    <xf numFmtId="167" fontId="5" fillId="3" borderId="1" xfId="0" applyNumberFormat="1" applyFont="1" applyFill="1" applyBorder="1"/>
    <xf numFmtId="168" fontId="4" fillId="0" borderId="1" xfId="0" applyNumberFormat="1" applyFont="1" applyBorder="1"/>
    <xf numFmtId="4" fontId="4" fillId="0" borderId="1" xfId="0" applyNumberFormat="1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3" fontId="4" fillId="0" borderId="1" xfId="0" applyNumberFormat="1" applyFont="1" applyBorder="1"/>
    <xf numFmtId="166" fontId="4" fillId="0" borderId="1" xfId="0" applyNumberFormat="1" applyFont="1" applyBorder="1"/>
    <xf numFmtId="169" fontId="4" fillId="0" borderId="1" xfId="0" applyNumberFormat="1" applyFont="1" applyBorder="1"/>
    <xf numFmtId="0" fontId="6" fillId="4" borderId="1" xfId="0" applyFont="1" applyFill="1" applyBorder="1"/>
    <xf numFmtId="0" fontId="4" fillId="0" borderId="1" xfId="0" applyFont="1" applyBorder="1"/>
    <xf numFmtId="168" fontId="0" fillId="0" borderId="1" xfId="0" applyNumberFormat="1" applyBorder="1"/>
    <xf numFmtId="0" fontId="2" fillId="0" borderId="1" xfId="0" applyFont="1" applyBorder="1"/>
    <xf numFmtId="170" fontId="0" fillId="0" borderId="1" xfId="0" applyNumberFormat="1" applyBorder="1"/>
    <xf numFmtId="3" fontId="0" fillId="0" borderId="1" xfId="0" applyNumberFormat="1" applyBorder="1"/>
    <xf numFmtId="0" fontId="6" fillId="4" borderId="0" xfId="0" applyFont="1" applyFill="1"/>
    <xf numFmtId="0" fontId="0" fillId="4" borderId="0" xfId="0" applyFill="1"/>
    <xf numFmtId="170" fontId="6" fillId="4" borderId="0" xfId="0" applyNumberFormat="1" applyFont="1" applyFill="1"/>
    <xf numFmtId="165" fontId="4" fillId="0" borderId="1" xfId="0" applyNumberFormat="1" applyFont="1" applyBorder="1"/>
    <xf numFmtId="0" fontId="6" fillId="5" borderId="0" xfId="0" applyFont="1" applyFill="1"/>
    <xf numFmtId="170" fontId="6" fillId="5" borderId="0" xfId="0" applyNumberFormat="1" applyFont="1" applyFill="1"/>
    <xf numFmtId="9" fontId="0" fillId="0" borderId="0" xfId="0" applyNumberFormat="1"/>
    <xf numFmtId="170" fontId="0" fillId="0" borderId="0" xfId="0" applyNumberFormat="1"/>
    <xf numFmtId="0" fontId="7" fillId="5" borderId="0" xfId="0" applyFont="1" applyFill="1"/>
    <xf numFmtId="170" fontId="7" fillId="5" borderId="0" xfId="0" applyNumberFormat="1" applyFont="1" applyFill="1"/>
    <xf numFmtId="165" fontId="0" fillId="0" borderId="0" xfId="0" applyNumberFormat="1"/>
    <xf numFmtId="0" fontId="10" fillId="0" borderId="1" xfId="0" applyFont="1" applyBorder="1"/>
    <xf numFmtId="9" fontId="10" fillId="0" borderId="1" xfId="0" applyNumberFormat="1" applyFont="1" applyBorder="1"/>
    <xf numFmtId="181" fontId="4" fillId="0" borderId="1" xfId="0" applyNumberFormat="1" applyFont="1" applyBorder="1"/>
    <xf numFmtId="172" fontId="4" fillId="0" borderId="1" xfId="0" applyNumberFormat="1" applyFont="1" applyBorder="1"/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showGridLines="0" tabSelected="1" workbookViewId="0"/>
  </sheetViews>
  <sheetFormatPr defaultRowHeight="14.4" x14ac:dyDescent="0.3"/>
  <cols>
    <col min="1" max="1" width="40" customWidth="1"/>
    <col min="2" max="2" width="18" customWidth="1"/>
    <col min="3" max="3" width="14" customWidth="1"/>
    <col min="4" max="4" width="50" customWidth="1"/>
  </cols>
  <sheetData>
    <row r="1" spans="1:4" ht="21" x14ac:dyDescent="0.4">
      <c r="A1" s="1" t="s">
        <v>0</v>
      </c>
    </row>
    <row r="2" spans="1:4" x14ac:dyDescent="0.3">
      <c r="A2" s="2" t="s">
        <v>1</v>
      </c>
    </row>
    <row r="3" spans="1:4" x14ac:dyDescent="0.3">
      <c r="A3" s="3" t="s">
        <v>2</v>
      </c>
    </row>
    <row r="5" spans="1:4" x14ac:dyDescent="0.3">
      <c r="A5" s="4" t="s">
        <v>3</v>
      </c>
      <c r="B5" s="5"/>
      <c r="C5" s="5"/>
      <c r="D5" s="5"/>
    </row>
    <row r="6" spans="1:4" x14ac:dyDescent="0.3">
      <c r="A6" s="6" t="s">
        <v>4</v>
      </c>
      <c r="B6" s="7">
        <f>Estimate!$B$60</f>
        <v>525</v>
      </c>
      <c r="D6" s="2"/>
    </row>
    <row r="7" spans="1:4" x14ac:dyDescent="0.3">
      <c r="A7" s="6" t="s">
        <v>5</v>
      </c>
      <c r="B7" s="8">
        <f>Estimate!$B$61</f>
        <v>11.5</v>
      </c>
      <c r="D7" s="2" t="s">
        <v>6</v>
      </c>
    </row>
    <row r="8" spans="1:4" x14ac:dyDescent="0.3">
      <c r="A8" s="6" t="s">
        <v>7</v>
      </c>
      <c r="B8" s="9">
        <f>Estimate!$B$81</f>
        <v>12053.125</v>
      </c>
      <c r="D8" s="2" t="s">
        <v>8</v>
      </c>
    </row>
    <row r="10" spans="1:4" x14ac:dyDescent="0.3">
      <c r="A10" s="4" t="s">
        <v>9</v>
      </c>
      <c r="B10" s="5"/>
      <c r="C10" s="5"/>
      <c r="D10" s="5"/>
    </row>
    <row r="11" spans="1:4" x14ac:dyDescent="0.3">
      <c r="A11" s="6" t="s">
        <v>10</v>
      </c>
      <c r="B11" s="10">
        <f>Estimate!$B$69</f>
        <v>19.697627314814813</v>
      </c>
      <c r="D11" s="2" t="s">
        <v>11</v>
      </c>
    </row>
    <row r="12" spans="1:4" x14ac:dyDescent="0.3">
      <c r="A12" s="6" t="s">
        <v>12</v>
      </c>
      <c r="B12" s="10">
        <f>Estimate!$B$70</f>
        <v>21.667390046296298</v>
      </c>
      <c r="D12" s="2" t="s">
        <v>13</v>
      </c>
    </row>
    <row r="13" spans="1:4" x14ac:dyDescent="0.3">
      <c r="A13" s="6" t="s">
        <v>14</v>
      </c>
      <c r="B13" s="9">
        <f>Estimate!$B$70*Estimate!$B$74</f>
        <v>13000.434027777779</v>
      </c>
      <c r="D13" s="2" t="s">
        <v>15</v>
      </c>
    </row>
    <row r="14" spans="1:4" x14ac:dyDescent="0.3">
      <c r="A14" s="6" t="s">
        <v>16</v>
      </c>
      <c r="B14" s="11">
        <f>Estimate!$B$64</f>
        <v>20</v>
      </c>
      <c r="D14" s="2" t="s">
        <v>17</v>
      </c>
    </row>
    <row r="15" spans="1:4" x14ac:dyDescent="0.3">
      <c r="A15" s="6" t="s">
        <v>18</v>
      </c>
      <c r="B15" s="12">
        <f>Estimate!$B$65</f>
        <v>21</v>
      </c>
      <c r="D15" s="2"/>
    </row>
    <row r="16" spans="1:4" x14ac:dyDescent="0.3">
      <c r="A16" s="6" t="s">
        <v>19</v>
      </c>
      <c r="B16" s="13">
        <f>Estimate!$B$66</f>
        <v>6</v>
      </c>
      <c r="C16" s="14">
        <f>Estimate!$B$66*Estimate!$B$13/12</f>
        <v>150</v>
      </c>
      <c r="D16" s="2"/>
    </row>
    <row r="17" spans="1:4" x14ac:dyDescent="0.3">
      <c r="A17" s="6" t="s">
        <v>20</v>
      </c>
      <c r="B17" s="7">
        <f>Estimate!$B$60*(1+Estimate!$B$43)</f>
        <v>577.5</v>
      </c>
      <c r="D17" s="2" t="s">
        <v>21</v>
      </c>
    </row>
    <row r="18" spans="1:4" x14ac:dyDescent="0.3">
      <c r="A18" s="6" t="s">
        <v>22</v>
      </c>
      <c r="B18" s="15">
        <f>Estimate!$B$66*Estimate!$B$64</f>
        <v>120</v>
      </c>
      <c r="D18" s="2"/>
    </row>
    <row r="20" spans="1:4" x14ac:dyDescent="0.3">
      <c r="A20" s="4" t="s">
        <v>23</v>
      </c>
      <c r="B20" s="5"/>
      <c r="C20" s="5"/>
      <c r="D20" s="5"/>
    </row>
    <row r="21" spans="1:4" x14ac:dyDescent="0.3">
      <c r="A21" s="6" t="s">
        <v>24</v>
      </c>
      <c r="B21" s="16">
        <f>Estimate!$F$96</f>
        <v>2443.7600000000002</v>
      </c>
      <c r="D21" s="2"/>
    </row>
    <row r="22" spans="1:4" x14ac:dyDescent="0.3">
      <c r="A22" s="6" t="s">
        <v>25</v>
      </c>
      <c r="B22" s="16">
        <f>Estimate!$F$101</f>
        <v>548.625</v>
      </c>
      <c r="D22" s="2"/>
    </row>
    <row r="23" spans="1:4" x14ac:dyDescent="0.3">
      <c r="A23" s="6" t="s">
        <v>26</v>
      </c>
      <c r="B23" s="16">
        <f>Estimate!$F$110</f>
        <v>4766.8258101851852</v>
      </c>
      <c r="D23" s="2"/>
    </row>
    <row r="24" spans="1:4" x14ac:dyDescent="0.3">
      <c r="A24" s="6" t="s">
        <v>27</v>
      </c>
      <c r="B24" s="16">
        <f>Estimate!$F$114</f>
        <v>72</v>
      </c>
      <c r="D24" s="2"/>
    </row>
    <row r="25" spans="1:4" x14ac:dyDescent="0.3">
      <c r="A25" s="6" t="s">
        <v>28</v>
      </c>
      <c r="B25" s="16">
        <f>Estimate!$F$119</f>
        <v>234.89999999999998</v>
      </c>
      <c r="D25" s="2"/>
    </row>
    <row r="26" spans="1:4" x14ac:dyDescent="0.3">
      <c r="A26" s="6" t="s">
        <v>29</v>
      </c>
      <c r="B26" s="16">
        <f>Estimate!$F$123</f>
        <v>4200</v>
      </c>
      <c r="D26" s="2"/>
    </row>
    <row r="27" spans="1:4" x14ac:dyDescent="0.3">
      <c r="A27" s="6" t="s">
        <v>30</v>
      </c>
      <c r="B27" s="16">
        <f>Estimate!$F$132</f>
        <v>5750.2184606481478</v>
      </c>
      <c r="D27" s="2"/>
    </row>
    <row r="28" spans="1:4" x14ac:dyDescent="0.3">
      <c r="A28" s="6" t="s">
        <v>31</v>
      </c>
      <c r="B28" s="16">
        <f>Estimate!$F$134*Estimate!$B$48</f>
        <v>1801.6329270833332</v>
      </c>
      <c r="D28" s="2"/>
    </row>
    <row r="29" spans="1:4" ht="15.6" x14ac:dyDescent="0.3">
      <c r="A29" s="17" t="s">
        <v>32</v>
      </c>
      <c r="B29" s="18">
        <f>Estimate!$F$136</f>
        <v>19817.962197916666</v>
      </c>
      <c r="C29" s="19"/>
      <c r="D29" s="19"/>
    </row>
    <row r="30" spans="1:4" x14ac:dyDescent="0.3">
      <c r="A30" s="6" t="s">
        <v>33</v>
      </c>
      <c r="B30" s="20">
        <f>Estimate!$F$136/Estimate!$B$60</f>
        <v>37.748499424603175</v>
      </c>
      <c r="D30" s="2"/>
    </row>
    <row r="32" spans="1:4" ht="42" customHeight="1" x14ac:dyDescent="0.3">
      <c r="A32" s="67" t="s">
        <v>34</v>
      </c>
      <c r="B32" s="68"/>
      <c r="C32" s="68"/>
      <c r="D32" s="68"/>
    </row>
    <row r="33" spans="1:4" x14ac:dyDescent="0.3">
      <c r="A33" s="2" t="s">
        <v>35</v>
      </c>
    </row>
    <row r="34" spans="1:4" x14ac:dyDescent="0.3">
      <c r="A34" s="4" t="s">
        <v>36</v>
      </c>
      <c r="B34" s="5"/>
      <c r="C34" s="5"/>
      <c r="D34" s="5"/>
    </row>
    <row r="35" spans="1:4" x14ac:dyDescent="0.3">
      <c r="A35" s="6" t="s">
        <v>37</v>
      </c>
      <c r="B35" s="16">
        <f>'Floor options'!$B$107</f>
        <v>5392.8231296296308</v>
      </c>
      <c r="D35" s="2" t="s">
        <v>38</v>
      </c>
    </row>
    <row r="36" spans="1:4" x14ac:dyDescent="0.3">
      <c r="A36" s="6" t="s">
        <v>39</v>
      </c>
      <c r="B36" s="16">
        <f>'Floor options'!$B$108</f>
        <v>16764.055050925923</v>
      </c>
      <c r="D36" s="2" t="s">
        <v>40</v>
      </c>
    </row>
    <row r="37" spans="1:4" x14ac:dyDescent="0.3">
      <c r="A37" s="3" t="s">
        <v>41</v>
      </c>
    </row>
  </sheetData>
  <mergeCells count="1">
    <mergeCell ref="A32:D32"/>
  </mergeCells>
  <hyperlinks>
    <hyperlink ref="A3" location="'Estimate'!A1" display="See the detailed estimate →" xr:uid="{00000000-0004-0000-0000-000000000000}"/>
    <hyperlink ref="A37" location="'Floor options'!A1" display="Compare the floor options →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9"/>
  <sheetViews>
    <sheetView showGridLines="0" workbookViewId="0">
      <pane ySplit="4" topLeftCell="A5" activePane="bottomLeft" state="frozen"/>
      <selection pane="bottomLeft"/>
    </sheetView>
  </sheetViews>
  <sheetFormatPr defaultRowHeight="14.4" x14ac:dyDescent="0.3"/>
  <cols>
    <col min="1" max="1" width="36" customWidth="1"/>
    <col min="2" max="3" width="14" customWidth="1"/>
    <col min="4" max="4" width="16" customWidth="1"/>
    <col min="5" max="5" width="14" customWidth="1"/>
    <col min="6" max="6" width="16" customWidth="1"/>
    <col min="7" max="7" width="60" customWidth="1"/>
  </cols>
  <sheetData>
    <row r="1" spans="1:7" ht="17.399999999999999" x14ac:dyDescent="0.3">
      <c r="A1" s="21" t="s">
        <v>42</v>
      </c>
    </row>
    <row r="2" spans="1:7" x14ac:dyDescent="0.3">
      <c r="A2" s="2" t="s">
        <v>43</v>
      </c>
    </row>
    <row r="3" spans="1:7" x14ac:dyDescent="0.3">
      <c r="A3" s="2" t="s">
        <v>44</v>
      </c>
    </row>
    <row r="4" spans="1:7" x14ac:dyDescent="0.3">
      <c r="F4" s="3" t="s">
        <v>45</v>
      </c>
    </row>
    <row r="5" spans="1:7" x14ac:dyDescent="0.3">
      <c r="A5" s="4" t="s">
        <v>46</v>
      </c>
      <c r="B5" s="5"/>
      <c r="C5" s="5"/>
      <c r="D5" s="5"/>
      <c r="E5" s="5"/>
      <c r="F5" s="5"/>
      <c r="G5" s="5"/>
    </row>
    <row r="6" spans="1:7" x14ac:dyDescent="0.3">
      <c r="A6" s="22" t="s">
        <v>47</v>
      </c>
      <c r="B6" s="23">
        <f>$B$69</f>
        <v>19.697627314814813</v>
      </c>
      <c r="D6" s="2" t="s">
        <v>48</v>
      </c>
    </row>
    <row r="7" spans="1:7" x14ac:dyDescent="0.3">
      <c r="A7" s="22" t="s">
        <v>12</v>
      </c>
      <c r="B7" s="23">
        <f>$B$70</f>
        <v>21.667390046296298</v>
      </c>
      <c r="D7" s="2" t="s">
        <v>49</v>
      </c>
    </row>
    <row r="8" spans="1:7" x14ac:dyDescent="0.3">
      <c r="A8" s="22" t="s">
        <v>14</v>
      </c>
      <c r="B8" s="24">
        <f>$B$70*$B$74</f>
        <v>13000.434027777779</v>
      </c>
      <c r="D8" s="2" t="s">
        <v>50</v>
      </c>
    </row>
    <row r="9" spans="1:7" x14ac:dyDescent="0.3">
      <c r="A9" s="22" t="s">
        <v>16</v>
      </c>
      <c r="B9" s="25">
        <f>$B$64</f>
        <v>20</v>
      </c>
      <c r="C9" s="26">
        <f>$B$65</f>
        <v>21</v>
      </c>
      <c r="D9" s="2"/>
    </row>
    <row r="10" spans="1:7" x14ac:dyDescent="0.3">
      <c r="A10" s="22" t="s">
        <v>51</v>
      </c>
      <c r="B10" s="27">
        <f>$F$136</f>
        <v>19817.962197916666</v>
      </c>
      <c r="D10" s="2" t="s">
        <v>52</v>
      </c>
    </row>
    <row r="12" spans="1:7" x14ac:dyDescent="0.3">
      <c r="A12" s="4" t="s">
        <v>53</v>
      </c>
      <c r="B12" s="5"/>
      <c r="C12" s="5"/>
      <c r="D12" s="5"/>
      <c r="E12" s="5"/>
      <c r="F12" s="5"/>
      <c r="G12" s="5"/>
    </row>
    <row r="13" spans="1:7" x14ac:dyDescent="0.3">
      <c r="A13" s="6" t="s">
        <v>54</v>
      </c>
      <c r="B13" s="28">
        <v>300</v>
      </c>
      <c r="C13" s="2" t="s">
        <v>55</v>
      </c>
      <c r="D13" s="2" t="s">
        <v>56</v>
      </c>
    </row>
    <row r="14" spans="1:7" x14ac:dyDescent="0.3">
      <c r="A14" s="6" t="s">
        <v>57</v>
      </c>
      <c r="B14" s="28">
        <v>252</v>
      </c>
      <c r="C14" s="2" t="s">
        <v>55</v>
      </c>
      <c r="D14" s="2" t="s">
        <v>58</v>
      </c>
    </row>
    <row r="15" spans="1:7" x14ac:dyDescent="0.3">
      <c r="A15" s="6" t="s">
        <v>59</v>
      </c>
      <c r="B15" s="28">
        <v>2</v>
      </c>
      <c r="C15" s="2" t="s">
        <v>55</v>
      </c>
      <c r="D15" s="2"/>
    </row>
    <row r="16" spans="1:7" x14ac:dyDescent="0.3">
      <c r="A16" s="6" t="s">
        <v>60</v>
      </c>
      <c r="B16" s="28">
        <v>1.5</v>
      </c>
      <c r="C16" s="2" t="s">
        <v>55</v>
      </c>
      <c r="D16" s="2" t="s">
        <v>61</v>
      </c>
    </row>
    <row r="17" spans="1:7" x14ac:dyDescent="0.3">
      <c r="A17" s="6" t="s">
        <v>62</v>
      </c>
      <c r="B17" s="28">
        <v>6</v>
      </c>
      <c r="C17" s="2" t="s">
        <v>55</v>
      </c>
      <c r="D17" s="2"/>
    </row>
    <row r="18" spans="1:7" x14ac:dyDescent="0.3">
      <c r="A18" s="6" t="s">
        <v>63</v>
      </c>
      <c r="B18" s="28">
        <v>2</v>
      </c>
      <c r="C18" s="2" t="s">
        <v>55</v>
      </c>
      <c r="D18" s="2"/>
    </row>
    <row r="19" spans="1:7" x14ac:dyDescent="0.3">
      <c r="A19" s="6" t="s">
        <v>64</v>
      </c>
      <c r="B19" s="28">
        <v>6.5</v>
      </c>
      <c r="C19" s="2" t="s">
        <v>55</v>
      </c>
      <c r="D19" s="2" t="s">
        <v>65</v>
      </c>
    </row>
    <row r="20" spans="1:7" x14ac:dyDescent="0.3">
      <c r="A20" s="6" t="s">
        <v>66</v>
      </c>
      <c r="B20" s="29">
        <v>6.25E-2</v>
      </c>
      <c r="C20" s="2" t="s">
        <v>67</v>
      </c>
      <c r="D20" s="2" t="s">
        <v>68</v>
      </c>
    </row>
    <row r="21" spans="1:7" x14ac:dyDescent="0.3">
      <c r="A21" s="6" t="s">
        <v>69</v>
      </c>
      <c r="B21" s="28">
        <v>16</v>
      </c>
      <c r="C21" s="2" t="s">
        <v>70</v>
      </c>
      <c r="D21" s="2"/>
    </row>
    <row r="22" spans="1:7" x14ac:dyDescent="0.3">
      <c r="A22" s="6" t="s">
        <v>71</v>
      </c>
      <c r="B22" s="28">
        <v>1.625</v>
      </c>
      <c r="C22" s="2" t="s">
        <v>55</v>
      </c>
      <c r="D22" s="2" t="s">
        <v>72</v>
      </c>
    </row>
    <row r="23" spans="1:7" x14ac:dyDescent="0.3">
      <c r="A23" s="6" t="s">
        <v>73</v>
      </c>
      <c r="B23" s="28">
        <v>48</v>
      </c>
      <c r="C23" s="2" t="s">
        <v>55</v>
      </c>
      <c r="D23" s="2"/>
    </row>
    <row r="24" spans="1:7" x14ac:dyDescent="0.3">
      <c r="A24" s="6" t="s">
        <v>74</v>
      </c>
      <c r="B24" s="28">
        <v>12</v>
      </c>
      <c r="C24" s="2" t="s">
        <v>55</v>
      </c>
      <c r="D24" s="2"/>
    </row>
    <row r="25" spans="1:7" x14ac:dyDescent="0.3">
      <c r="A25" s="6" t="s">
        <v>75</v>
      </c>
      <c r="B25" s="28">
        <v>2</v>
      </c>
      <c r="C25" s="2" t="s">
        <v>76</v>
      </c>
      <c r="D25" s="2"/>
    </row>
    <row r="26" spans="1:7" x14ac:dyDescent="0.3">
      <c r="A26" s="6" t="s">
        <v>77</v>
      </c>
      <c r="B26" s="30">
        <v>4</v>
      </c>
      <c r="C26" s="2" t="s">
        <v>76</v>
      </c>
      <c r="D26" s="2" t="s">
        <v>78</v>
      </c>
    </row>
    <row r="27" spans="1:7" x14ac:dyDescent="0.3">
      <c r="A27" s="6" t="s">
        <v>79</v>
      </c>
      <c r="B27" s="28">
        <v>48</v>
      </c>
      <c r="C27" s="2" t="s">
        <v>55</v>
      </c>
      <c r="D27" s="2"/>
    </row>
    <row r="28" spans="1:7" x14ac:dyDescent="0.3">
      <c r="A28" s="6" t="s">
        <v>80</v>
      </c>
      <c r="B28" s="28">
        <v>8</v>
      </c>
      <c r="C28" s="2" t="s">
        <v>76</v>
      </c>
      <c r="D28" s="2"/>
    </row>
    <row r="29" spans="1:7" x14ac:dyDescent="0.3">
      <c r="A29" s="6" t="s">
        <v>81</v>
      </c>
      <c r="B29" s="28">
        <v>2</v>
      </c>
      <c r="C29" s="2" t="s">
        <v>76</v>
      </c>
      <c r="D29" s="2" t="s">
        <v>82</v>
      </c>
    </row>
    <row r="30" spans="1:7" x14ac:dyDescent="0.3">
      <c r="A30" s="6" t="s">
        <v>83</v>
      </c>
      <c r="B30" s="28">
        <v>2</v>
      </c>
      <c r="C30" s="2" t="s">
        <v>84</v>
      </c>
      <c r="D30" s="2" t="s">
        <v>85</v>
      </c>
    </row>
    <row r="32" spans="1:7" x14ac:dyDescent="0.3">
      <c r="A32" s="4" t="s">
        <v>86</v>
      </c>
      <c r="B32" s="5"/>
      <c r="C32" s="5"/>
      <c r="D32" s="5"/>
      <c r="E32" s="5"/>
      <c r="F32" s="5"/>
      <c r="G32" s="5"/>
    </row>
    <row r="33" spans="1:4" x14ac:dyDescent="0.3">
      <c r="A33" s="6" t="s">
        <v>87</v>
      </c>
      <c r="B33" s="28">
        <v>35</v>
      </c>
      <c r="C33" s="2" t="s">
        <v>88</v>
      </c>
      <c r="D33" s="2" t="s">
        <v>89</v>
      </c>
    </row>
    <row r="34" spans="1:4" x14ac:dyDescent="0.3">
      <c r="A34" s="6" t="s">
        <v>90</v>
      </c>
      <c r="B34" s="31">
        <v>600</v>
      </c>
      <c r="C34" s="2" t="s">
        <v>91</v>
      </c>
      <c r="D34" s="2" t="s">
        <v>92</v>
      </c>
    </row>
    <row r="35" spans="1:4" x14ac:dyDescent="0.3">
      <c r="A35" s="6" t="s">
        <v>93</v>
      </c>
      <c r="B35" s="32">
        <v>200</v>
      </c>
      <c r="C35" s="2" t="s">
        <v>94</v>
      </c>
      <c r="D35" s="2" t="s">
        <v>95</v>
      </c>
    </row>
    <row r="36" spans="1:4" x14ac:dyDescent="0.3">
      <c r="A36" s="6" t="s">
        <v>96</v>
      </c>
      <c r="B36" s="32">
        <v>20</v>
      </c>
      <c r="C36" s="2" t="s">
        <v>94</v>
      </c>
      <c r="D36" s="2" t="s">
        <v>97</v>
      </c>
    </row>
    <row r="37" spans="1:4" x14ac:dyDescent="0.3">
      <c r="A37" s="6" t="s">
        <v>98</v>
      </c>
      <c r="B37" s="33">
        <v>3.15</v>
      </c>
      <c r="C37" s="2"/>
      <c r="D37" s="2" t="s">
        <v>99</v>
      </c>
    </row>
    <row r="38" spans="1:4" x14ac:dyDescent="0.3">
      <c r="A38" s="6" t="s">
        <v>100</v>
      </c>
      <c r="B38" s="30">
        <v>94</v>
      </c>
      <c r="C38" s="2" t="s">
        <v>101</v>
      </c>
      <c r="D38" s="2" t="s">
        <v>102</v>
      </c>
    </row>
    <row r="39" spans="1:4" x14ac:dyDescent="0.3">
      <c r="A39" s="6" t="s">
        <v>103</v>
      </c>
      <c r="B39" s="30">
        <v>25</v>
      </c>
      <c r="C39" s="2" t="s">
        <v>104</v>
      </c>
      <c r="D39" s="2" t="s">
        <v>105</v>
      </c>
    </row>
    <row r="40" spans="1:4" x14ac:dyDescent="0.3">
      <c r="A40" s="6" t="s">
        <v>106</v>
      </c>
      <c r="B40" s="34">
        <v>2.5000000000000001E-2</v>
      </c>
      <c r="C40" s="2" t="s">
        <v>107</v>
      </c>
      <c r="D40" s="2" t="s">
        <v>108</v>
      </c>
    </row>
    <row r="41" spans="1:4" x14ac:dyDescent="0.3">
      <c r="A41" s="6" t="s">
        <v>109</v>
      </c>
      <c r="B41" s="30">
        <v>5</v>
      </c>
      <c r="C41" s="2" t="s">
        <v>110</v>
      </c>
      <c r="D41" s="2"/>
    </row>
    <row r="42" spans="1:4" x14ac:dyDescent="0.3">
      <c r="A42" s="6" t="s">
        <v>111</v>
      </c>
      <c r="B42" s="35">
        <v>0.1</v>
      </c>
      <c r="C42" s="2" t="s">
        <v>112</v>
      </c>
      <c r="D42" s="2" t="s">
        <v>113</v>
      </c>
    </row>
    <row r="43" spans="1:4" x14ac:dyDescent="0.3">
      <c r="A43" s="6" t="s">
        <v>114</v>
      </c>
      <c r="B43" s="35">
        <v>0.1</v>
      </c>
      <c r="C43" s="2" t="s">
        <v>112</v>
      </c>
      <c r="D43" s="2"/>
    </row>
    <row r="44" spans="1:4" x14ac:dyDescent="0.3">
      <c r="A44" s="6" t="s">
        <v>115</v>
      </c>
      <c r="B44" s="30">
        <v>540</v>
      </c>
      <c r="C44" s="2" t="s">
        <v>116</v>
      </c>
      <c r="D44" s="2" t="s">
        <v>117</v>
      </c>
    </row>
    <row r="45" spans="1:4" x14ac:dyDescent="0.3">
      <c r="A45" s="6" t="s">
        <v>118</v>
      </c>
      <c r="B45" s="30">
        <v>10</v>
      </c>
      <c r="C45" s="2" t="s">
        <v>119</v>
      </c>
      <c r="D45" s="2"/>
    </row>
    <row r="46" spans="1:4" x14ac:dyDescent="0.3">
      <c r="A46" s="6" t="s">
        <v>120</v>
      </c>
      <c r="B46" s="30">
        <v>16</v>
      </c>
      <c r="C46" s="2" t="s">
        <v>119</v>
      </c>
      <c r="D46" s="2" t="s">
        <v>121</v>
      </c>
    </row>
    <row r="47" spans="1:4" x14ac:dyDescent="0.3">
      <c r="A47" s="6" t="s">
        <v>122</v>
      </c>
      <c r="B47" s="30">
        <v>10</v>
      </c>
      <c r="C47" s="2" t="s">
        <v>119</v>
      </c>
      <c r="D47" s="2"/>
    </row>
    <row r="48" spans="1:4" x14ac:dyDescent="0.3">
      <c r="A48" s="6" t="s">
        <v>123</v>
      </c>
      <c r="B48" s="35">
        <v>0.1</v>
      </c>
      <c r="C48" s="2" t="s">
        <v>112</v>
      </c>
      <c r="D48" s="2"/>
    </row>
    <row r="50" spans="1:7" x14ac:dyDescent="0.3">
      <c r="A50" s="4" t="s">
        <v>124</v>
      </c>
      <c r="B50" s="5"/>
      <c r="C50" s="5"/>
      <c r="D50" s="5"/>
      <c r="E50" s="5"/>
      <c r="F50" s="5"/>
      <c r="G50" s="5"/>
    </row>
    <row r="51" spans="1:7" x14ac:dyDescent="0.3">
      <c r="A51" s="6" t="s">
        <v>125</v>
      </c>
      <c r="B51" s="32">
        <v>35</v>
      </c>
      <c r="C51" s="2" t="s">
        <v>126</v>
      </c>
      <c r="D51" s="2" t="s">
        <v>127</v>
      </c>
    </row>
    <row r="52" spans="1:7" x14ac:dyDescent="0.3">
      <c r="A52" s="6" t="s">
        <v>128</v>
      </c>
      <c r="B52" s="30">
        <v>16</v>
      </c>
      <c r="C52" s="2" t="s">
        <v>129</v>
      </c>
      <c r="D52" s="2" t="s">
        <v>130</v>
      </c>
    </row>
    <row r="53" spans="1:7" x14ac:dyDescent="0.3">
      <c r="A53" s="6" t="s">
        <v>131</v>
      </c>
      <c r="B53" s="33">
        <v>0.12</v>
      </c>
      <c r="C53" s="2" t="s">
        <v>132</v>
      </c>
      <c r="D53" s="2" t="s">
        <v>133</v>
      </c>
    </row>
    <row r="54" spans="1:7" x14ac:dyDescent="0.3">
      <c r="A54" s="6" t="s">
        <v>134</v>
      </c>
      <c r="B54" s="33">
        <v>0.03</v>
      </c>
      <c r="C54" s="2" t="s">
        <v>132</v>
      </c>
      <c r="D54" s="2"/>
    </row>
    <row r="55" spans="1:7" x14ac:dyDescent="0.3">
      <c r="A55" s="6" t="s">
        <v>135</v>
      </c>
      <c r="B55" s="36">
        <v>1.5</v>
      </c>
      <c r="C55" s="2" t="s">
        <v>136</v>
      </c>
      <c r="D55" s="2" t="s">
        <v>137</v>
      </c>
    </row>
    <row r="56" spans="1:7" x14ac:dyDescent="0.3">
      <c r="A56" s="6" t="s">
        <v>138</v>
      </c>
      <c r="B56" s="36">
        <v>2</v>
      </c>
      <c r="C56" s="2" t="s">
        <v>136</v>
      </c>
      <c r="D56" s="2"/>
    </row>
    <row r="57" spans="1:7" x14ac:dyDescent="0.3">
      <c r="A57" s="6" t="s">
        <v>139</v>
      </c>
      <c r="B57" s="30">
        <v>32</v>
      </c>
      <c r="C57" s="2" t="s">
        <v>129</v>
      </c>
      <c r="D57" s="2" t="s">
        <v>140</v>
      </c>
    </row>
    <row r="59" spans="1:7" x14ac:dyDescent="0.3">
      <c r="A59" s="4" t="s">
        <v>141</v>
      </c>
      <c r="B59" s="5"/>
      <c r="C59" s="5"/>
      <c r="D59" s="5"/>
      <c r="E59" s="5"/>
      <c r="F59" s="5"/>
      <c r="G59" s="5"/>
    </row>
    <row r="60" spans="1:7" x14ac:dyDescent="0.3">
      <c r="A60" s="6" t="s">
        <v>142</v>
      </c>
      <c r="B60" s="37">
        <f>$B$13*$B$14/144</f>
        <v>525</v>
      </c>
      <c r="C60" s="2" t="s">
        <v>143</v>
      </c>
      <c r="D60" s="2"/>
    </row>
    <row r="61" spans="1:7" x14ac:dyDescent="0.3">
      <c r="A61" s="6" t="s">
        <v>144</v>
      </c>
      <c r="B61" s="38">
        <f>$B$15+$B$16+$B$17+$B$18</f>
        <v>11.5</v>
      </c>
      <c r="C61" s="2" t="s">
        <v>55</v>
      </c>
      <c r="D61" s="2" t="s">
        <v>145</v>
      </c>
    </row>
    <row r="62" spans="1:7" x14ac:dyDescent="0.3">
      <c r="A62" s="6" t="s">
        <v>146</v>
      </c>
      <c r="B62" s="38">
        <f>$B$61-$B$19</f>
        <v>5</v>
      </c>
      <c r="C62" s="2" t="s">
        <v>55</v>
      </c>
      <c r="D62" s="2"/>
    </row>
    <row r="63" spans="1:7" x14ac:dyDescent="0.3">
      <c r="A63" s="6" t="s">
        <v>147</v>
      </c>
      <c r="B63" s="38">
        <f>$B$20*$B$14/12/2</f>
        <v>0.65625</v>
      </c>
      <c r="C63" s="2" t="s">
        <v>55</v>
      </c>
      <c r="D63" s="2"/>
    </row>
    <row r="64" spans="1:7" x14ac:dyDescent="0.3">
      <c r="A64" s="6" t="s">
        <v>148</v>
      </c>
      <c r="B64" s="39">
        <f>INT(($B$13-$B$22)/$B$21)+2</f>
        <v>20</v>
      </c>
      <c r="C64" s="2" t="s">
        <v>76</v>
      </c>
      <c r="D64" s="2" t="s">
        <v>149</v>
      </c>
    </row>
    <row r="65" spans="1:4" x14ac:dyDescent="0.3">
      <c r="A65" s="6" t="s">
        <v>150</v>
      </c>
      <c r="B65" s="40">
        <f>$B$14/12</f>
        <v>21</v>
      </c>
      <c r="C65" s="2" t="s">
        <v>119</v>
      </c>
      <c r="D65" s="2" t="s">
        <v>151</v>
      </c>
    </row>
    <row r="66" spans="1:4" x14ac:dyDescent="0.3">
      <c r="A66" s="6" t="s">
        <v>152</v>
      </c>
      <c r="B66" s="39">
        <f>INT(($B$14-2*$B$24)/$B$23)+1+IF(MOD($B$14-2*$B$24,$B$23)&gt;0,1,0)</f>
        <v>6</v>
      </c>
      <c r="C66" s="2" t="s">
        <v>76</v>
      </c>
      <c r="D66" s="2" t="s">
        <v>153</v>
      </c>
    </row>
    <row r="67" spans="1:4" x14ac:dyDescent="0.3">
      <c r="A67" s="6" t="s">
        <v>154</v>
      </c>
      <c r="B67" s="38">
        <f>$B$13*$B$14*$B$19/1728/27</f>
        <v>10.532407407407407</v>
      </c>
      <c r="C67" s="2" t="s">
        <v>155</v>
      </c>
      <c r="D67" s="2" t="s">
        <v>156</v>
      </c>
    </row>
    <row r="68" spans="1:4" x14ac:dyDescent="0.3">
      <c r="A68" s="6" t="s">
        <v>157</v>
      </c>
      <c r="B68" s="38">
        <f>$B$13*$B$14*($B$62+$B$63)/1728/27</f>
        <v>9.1652199074074066</v>
      </c>
      <c r="C68" s="2" t="s">
        <v>155</v>
      </c>
      <c r="D68" s="2" t="s">
        <v>158</v>
      </c>
    </row>
    <row r="69" spans="1:4" x14ac:dyDescent="0.3">
      <c r="A69" s="6" t="s">
        <v>159</v>
      </c>
      <c r="B69" s="38">
        <f>$B$67+$B$68</f>
        <v>19.697627314814813</v>
      </c>
      <c r="C69" s="2" t="s">
        <v>155</v>
      </c>
      <c r="D69" s="2"/>
    </row>
    <row r="70" spans="1:4" x14ac:dyDescent="0.3">
      <c r="A70" s="6" t="s">
        <v>160</v>
      </c>
      <c r="B70" s="38">
        <f>$B$69*(1+$B$42)</f>
        <v>21.667390046296298</v>
      </c>
      <c r="C70" s="2" t="s">
        <v>155</v>
      </c>
      <c r="D70" s="2" t="s">
        <v>161</v>
      </c>
    </row>
    <row r="71" spans="1:4" x14ac:dyDescent="0.3">
      <c r="A71" s="6" t="s">
        <v>162</v>
      </c>
      <c r="B71" s="38">
        <f>$B$34/27</f>
        <v>22.222222222222221</v>
      </c>
      <c r="C71" s="2" t="s">
        <v>163</v>
      </c>
      <c r="D71" s="2" t="s">
        <v>164</v>
      </c>
    </row>
    <row r="72" spans="1:4" x14ac:dyDescent="0.3">
      <c r="A72" s="6" t="s">
        <v>165</v>
      </c>
      <c r="B72" s="38">
        <f>$B$33-$B$71</f>
        <v>12.777777777777779</v>
      </c>
      <c r="C72" s="2" t="s">
        <v>163</v>
      </c>
      <c r="D72" s="2" t="s">
        <v>166</v>
      </c>
    </row>
    <row r="73" spans="1:4" x14ac:dyDescent="0.3">
      <c r="A73" s="6" t="s">
        <v>167</v>
      </c>
      <c r="B73" s="40">
        <f>$B$72/$B$71</f>
        <v>0.57500000000000007</v>
      </c>
      <c r="C73" s="2" t="s">
        <v>168</v>
      </c>
      <c r="D73" s="2" t="s">
        <v>169</v>
      </c>
    </row>
    <row r="74" spans="1:4" x14ac:dyDescent="0.3">
      <c r="A74" s="6" t="s">
        <v>170</v>
      </c>
      <c r="B74" s="41">
        <f>$B$34</f>
        <v>600</v>
      </c>
      <c r="C74" s="2" t="s">
        <v>91</v>
      </c>
      <c r="D74" s="2"/>
    </row>
    <row r="75" spans="1:4" x14ac:dyDescent="0.3">
      <c r="A75" s="6" t="s">
        <v>171</v>
      </c>
      <c r="B75" s="38">
        <f>$B$74/$B$38</f>
        <v>6.3829787234042552</v>
      </c>
      <c r="C75" s="2" t="s">
        <v>172</v>
      </c>
      <c r="D75" s="2"/>
    </row>
    <row r="76" spans="1:4" x14ac:dyDescent="0.3">
      <c r="A76" s="6" t="s">
        <v>173</v>
      </c>
      <c r="B76" s="37">
        <f>$B$72*27/8.34</f>
        <v>41.366906474820148</v>
      </c>
      <c r="C76" s="2" t="s">
        <v>174</v>
      </c>
      <c r="D76" s="2"/>
    </row>
    <row r="77" spans="1:4" x14ac:dyDescent="0.3">
      <c r="A77" s="6" t="s">
        <v>175</v>
      </c>
      <c r="B77" s="42">
        <f>1-$B$71/($B$37*62.4)-$B$72/62.4</f>
        <v>0.68217225161669603</v>
      </c>
      <c r="C77" s="2" t="s">
        <v>176</v>
      </c>
      <c r="D77" s="2" t="s">
        <v>177</v>
      </c>
    </row>
    <row r="78" spans="1:4" x14ac:dyDescent="0.3">
      <c r="A78" s="6" t="s">
        <v>178</v>
      </c>
      <c r="B78" s="37">
        <f>$B$77*27</f>
        <v>18.418650793650794</v>
      </c>
      <c r="C78" s="2" t="s">
        <v>179</v>
      </c>
      <c r="D78" s="2"/>
    </row>
    <row r="79" spans="1:4" x14ac:dyDescent="0.3">
      <c r="A79" s="6" t="s">
        <v>180</v>
      </c>
      <c r="B79" s="38">
        <f>$B$78*7.4805/$B$39</f>
        <v>5.5112286904761909</v>
      </c>
      <c r="C79" s="2" t="s">
        <v>174</v>
      </c>
      <c r="D79" s="2" t="s">
        <v>181</v>
      </c>
    </row>
    <row r="80" spans="1:4" x14ac:dyDescent="0.3">
      <c r="A80" s="6" t="s">
        <v>182</v>
      </c>
      <c r="B80" s="43">
        <f>$B$79*$B$40</f>
        <v>0.13778071726190477</v>
      </c>
      <c r="C80" s="2" t="s">
        <v>174</v>
      </c>
      <c r="D80" s="2"/>
    </row>
    <row r="81" spans="1:7" x14ac:dyDescent="0.3">
      <c r="A81" s="6" t="s">
        <v>183</v>
      </c>
      <c r="B81" s="41">
        <f>($B$19/12*$B$33+4)*$B$60</f>
        <v>12053.125</v>
      </c>
      <c r="C81" s="2" t="s">
        <v>101</v>
      </c>
      <c r="D81" s="2" t="s">
        <v>184</v>
      </c>
    </row>
    <row r="83" spans="1:7" x14ac:dyDescent="0.3">
      <c r="A83" s="4" t="s">
        <v>185</v>
      </c>
      <c r="B83" s="5"/>
      <c r="C83" s="5"/>
      <c r="D83" s="5"/>
      <c r="E83" s="5"/>
      <c r="F83" s="5"/>
      <c r="G83" s="5"/>
    </row>
    <row r="84" spans="1:7" x14ac:dyDescent="0.3">
      <c r="A84" s="44" t="s">
        <v>186</v>
      </c>
      <c r="B84" s="44" t="s">
        <v>187</v>
      </c>
      <c r="C84" s="44" t="s">
        <v>188</v>
      </c>
      <c r="D84" s="44" t="s">
        <v>189</v>
      </c>
      <c r="E84" s="44" t="s">
        <v>190</v>
      </c>
      <c r="F84" s="44" t="s">
        <v>191</v>
      </c>
      <c r="G84" s="44" t="s">
        <v>192</v>
      </c>
    </row>
    <row r="85" spans="1:7" x14ac:dyDescent="0.3">
      <c r="A85" s="22" t="s">
        <v>193</v>
      </c>
    </row>
    <row r="86" spans="1:7" x14ac:dyDescent="0.3">
      <c r="A86" s="45" t="s">
        <v>194</v>
      </c>
      <c r="B86" s="46">
        <f>$B$64*$B$65</f>
        <v>420</v>
      </c>
      <c r="C86" s="47" t="s">
        <v>195</v>
      </c>
      <c r="D86" s="47" t="s">
        <v>196</v>
      </c>
      <c r="E86" s="32">
        <v>2.42</v>
      </c>
      <c r="F86" s="48">
        <f t="shared" ref="F86:F95" si="0">B86*E86</f>
        <v>1016.4</v>
      </c>
      <c r="G86" s="47" t="s">
        <v>197</v>
      </c>
    </row>
    <row r="87" spans="1:7" x14ac:dyDescent="0.3">
      <c r="A87" s="45" t="s">
        <v>198</v>
      </c>
      <c r="B87" s="46">
        <f>ROUNDUP($B$13/12/$B$45,0)*$B$45*2</f>
        <v>60</v>
      </c>
      <c r="C87" s="47" t="s">
        <v>195</v>
      </c>
      <c r="D87" s="47" t="s">
        <v>199</v>
      </c>
      <c r="E87" s="32">
        <v>2.42</v>
      </c>
      <c r="F87" s="48">
        <f t="shared" si="0"/>
        <v>145.19999999999999</v>
      </c>
      <c r="G87" s="47" t="s">
        <v>200</v>
      </c>
    </row>
    <row r="88" spans="1:7" x14ac:dyDescent="0.3">
      <c r="A88" s="45" t="s">
        <v>201</v>
      </c>
      <c r="B88" s="46">
        <f>$B$66*ROUNDUP($B$13/12/$B$46,0)*$B$46</f>
        <v>192</v>
      </c>
      <c r="C88" s="47" t="s">
        <v>195</v>
      </c>
      <c r="D88" s="47" t="s">
        <v>202</v>
      </c>
      <c r="E88" s="32">
        <v>0.73</v>
      </c>
      <c r="F88" s="48">
        <f t="shared" si="0"/>
        <v>140.16</v>
      </c>
      <c r="G88" s="47" t="s">
        <v>203</v>
      </c>
    </row>
    <row r="89" spans="1:7" x14ac:dyDescent="0.3">
      <c r="A89" s="45" t="s">
        <v>204</v>
      </c>
      <c r="B89" s="46">
        <f>ROUNDUP(2*($B$13+$B$14)/12/$B$47,0)*$B$47</f>
        <v>100</v>
      </c>
      <c r="C89" s="47" t="s">
        <v>195</v>
      </c>
      <c r="D89" s="47" t="s">
        <v>205</v>
      </c>
      <c r="E89" s="32">
        <v>2.5</v>
      </c>
      <c r="F89" s="48">
        <f t="shared" si="0"/>
        <v>250</v>
      </c>
      <c r="G89" s="47" t="s">
        <v>206</v>
      </c>
    </row>
    <row r="90" spans="1:7" x14ac:dyDescent="0.3">
      <c r="A90" s="45" t="s">
        <v>207</v>
      </c>
      <c r="B90" s="49">
        <f>$B$66*$B$64*$B$25</f>
        <v>240</v>
      </c>
      <c r="C90" s="47" t="s">
        <v>76</v>
      </c>
      <c r="D90" s="47" t="s">
        <v>208</v>
      </c>
      <c r="E90" s="32">
        <v>0.08</v>
      </c>
      <c r="F90" s="48">
        <f t="shared" si="0"/>
        <v>19.2</v>
      </c>
      <c r="G90" s="47" t="s">
        <v>209</v>
      </c>
    </row>
    <row r="91" spans="1:7" x14ac:dyDescent="0.3">
      <c r="A91" s="45" t="s">
        <v>210</v>
      </c>
      <c r="B91" s="49">
        <f>$B$64*2*$B$26</f>
        <v>160</v>
      </c>
      <c r="C91" s="47" t="s">
        <v>76</v>
      </c>
      <c r="D91" s="47" t="s">
        <v>211</v>
      </c>
      <c r="E91" s="32">
        <v>0.08</v>
      </c>
      <c r="F91" s="48">
        <f t="shared" si="0"/>
        <v>12.8</v>
      </c>
      <c r="G91" s="47" t="s">
        <v>212</v>
      </c>
    </row>
    <row r="92" spans="1:7" x14ac:dyDescent="0.3">
      <c r="A92" s="45" t="s">
        <v>213</v>
      </c>
      <c r="B92" s="49">
        <f>$B$64*$B$30</f>
        <v>40</v>
      </c>
      <c r="C92" s="47" t="s">
        <v>76</v>
      </c>
      <c r="D92" s="47" t="s">
        <v>214</v>
      </c>
      <c r="E92" s="32">
        <v>4.5</v>
      </c>
      <c r="F92" s="48">
        <f t="shared" si="0"/>
        <v>180</v>
      </c>
      <c r="G92" s="47" t="s">
        <v>215</v>
      </c>
    </row>
    <row r="93" spans="1:7" x14ac:dyDescent="0.3">
      <c r="A93" s="45" t="s">
        <v>216</v>
      </c>
      <c r="B93" s="49">
        <f>INT(($B$13-$B$27)/$B$27+1)*2</f>
        <v>12</v>
      </c>
      <c r="C93" s="47" t="s">
        <v>76</v>
      </c>
      <c r="D93" s="47" t="s">
        <v>217</v>
      </c>
      <c r="E93" s="32">
        <v>35</v>
      </c>
      <c r="F93" s="48">
        <f t="shared" si="0"/>
        <v>420</v>
      </c>
      <c r="G93" s="47" t="s">
        <v>218</v>
      </c>
    </row>
    <row r="94" spans="1:7" x14ac:dyDescent="0.3">
      <c r="A94" s="45" t="s">
        <v>219</v>
      </c>
      <c r="B94" s="49">
        <f>$B$28</f>
        <v>8</v>
      </c>
      <c r="C94" s="47" t="s">
        <v>76</v>
      </c>
      <c r="D94" s="47" t="s">
        <v>220</v>
      </c>
      <c r="E94" s="32">
        <v>28</v>
      </c>
      <c r="F94" s="48">
        <f t="shared" si="0"/>
        <v>224</v>
      </c>
      <c r="G94" s="47" t="s">
        <v>221</v>
      </c>
    </row>
    <row r="95" spans="1:7" x14ac:dyDescent="0.3">
      <c r="A95" s="45" t="s">
        <v>81</v>
      </c>
      <c r="B95" s="49">
        <f>$B$29</f>
        <v>2</v>
      </c>
      <c r="C95" s="47" t="s">
        <v>76</v>
      </c>
      <c r="D95" s="47" t="s">
        <v>222</v>
      </c>
      <c r="E95" s="32">
        <v>18</v>
      </c>
      <c r="F95" s="48">
        <f t="shared" si="0"/>
        <v>36</v>
      </c>
      <c r="G95" s="47" t="s">
        <v>223</v>
      </c>
    </row>
    <row r="96" spans="1:7" x14ac:dyDescent="0.3">
      <c r="A96" s="50" t="s">
        <v>224</v>
      </c>
      <c r="B96" s="51"/>
      <c r="C96" s="51"/>
      <c r="D96" s="51"/>
      <c r="E96" s="51"/>
      <c r="F96" s="52">
        <f>SUM(F86:F95)</f>
        <v>2443.7600000000002</v>
      </c>
      <c r="G96" s="51"/>
    </row>
    <row r="98" spans="1:7" x14ac:dyDescent="0.3">
      <c r="A98" s="22" t="s">
        <v>225</v>
      </c>
    </row>
    <row r="99" spans="1:7" x14ac:dyDescent="0.3">
      <c r="A99" s="45" t="s">
        <v>20</v>
      </c>
      <c r="B99" s="46">
        <f>$B$60*(1+$B$43)*1</f>
        <v>577.5</v>
      </c>
      <c r="C99" s="47" t="s">
        <v>143</v>
      </c>
      <c r="D99" s="47" t="s">
        <v>226</v>
      </c>
      <c r="E99" s="32">
        <v>0.95</v>
      </c>
      <c r="F99" s="48">
        <f>B99*E99</f>
        <v>548.625</v>
      </c>
      <c r="G99" s="47" t="s">
        <v>227</v>
      </c>
    </row>
    <row r="100" spans="1:7" x14ac:dyDescent="0.3">
      <c r="A100" s="45" t="s">
        <v>228</v>
      </c>
      <c r="B100" s="49">
        <f>ROUNDUP(B99/$B$44,0)</f>
        <v>2</v>
      </c>
      <c r="C100" s="47" t="s">
        <v>229</v>
      </c>
      <c r="D100" s="47" t="s">
        <v>230</v>
      </c>
      <c r="E100" s="32">
        <v>0</v>
      </c>
      <c r="F100" s="48">
        <f>B100*E100</f>
        <v>0</v>
      </c>
      <c r="G100" s="47" t="s">
        <v>231</v>
      </c>
    </row>
    <row r="101" spans="1:7" x14ac:dyDescent="0.3">
      <c r="A101" s="50" t="s">
        <v>232</v>
      </c>
      <c r="B101" s="51"/>
      <c r="C101" s="51"/>
      <c r="D101" s="51"/>
      <c r="E101" s="51"/>
      <c r="F101" s="52">
        <f>SUM(F99:F100)</f>
        <v>548.625</v>
      </c>
      <c r="G101" s="51"/>
    </row>
    <row r="103" spans="1:7" x14ac:dyDescent="0.3">
      <c r="A103" s="22" t="s">
        <v>233</v>
      </c>
    </row>
    <row r="104" spans="1:7" x14ac:dyDescent="0.3">
      <c r="A104" s="45" t="s">
        <v>99</v>
      </c>
      <c r="B104" s="46">
        <f>$B$70</f>
        <v>21.667390046296298</v>
      </c>
      <c r="C104" s="47" t="s">
        <v>155</v>
      </c>
      <c r="D104" s="47" t="s">
        <v>234</v>
      </c>
      <c r="E104" s="53">
        <f>$B$35</f>
        <v>200</v>
      </c>
      <c r="F104" s="48">
        <f t="shared" ref="F104:F109" si="1">B104*E104</f>
        <v>4333.4780092592591</v>
      </c>
      <c r="G104" s="47" t="s">
        <v>235</v>
      </c>
    </row>
    <row r="105" spans="1:7" x14ac:dyDescent="0.3">
      <c r="A105" s="45" t="s">
        <v>236</v>
      </c>
      <c r="B105" s="46">
        <f>$B$70</f>
        <v>21.667390046296298</v>
      </c>
      <c r="C105" s="47" t="s">
        <v>155</v>
      </c>
      <c r="D105" s="47" t="s">
        <v>237</v>
      </c>
      <c r="E105" s="53">
        <f>$B$36</f>
        <v>20</v>
      </c>
      <c r="F105" s="48">
        <f t="shared" si="1"/>
        <v>433.34780092592598</v>
      </c>
      <c r="G105" s="47" t="s">
        <v>238</v>
      </c>
    </row>
    <row r="106" spans="1:7" x14ac:dyDescent="0.3">
      <c r="A106" s="45" t="s">
        <v>239</v>
      </c>
      <c r="B106" s="49">
        <f>$B$70*$B$74</f>
        <v>13000.434027777779</v>
      </c>
      <c r="C106" s="47" t="s">
        <v>101</v>
      </c>
      <c r="D106" s="47" t="s">
        <v>240</v>
      </c>
      <c r="E106" s="32">
        <v>0</v>
      </c>
      <c r="F106" s="48">
        <f t="shared" si="1"/>
        <v>0</v>
      </c>
      <c r="G106" s="47" t="s">
        <v>241</v>
      </c>
    </row>
    <row r="107" spans="1:7" x14ac:dyDescent="0.3">
      <c r="A107" s="45" t="s">
        <v>242</v>
      </c>
      <c r="B107" s="49">
        <f>ROUNDUP($B$70*$B$75,0)</f>
        <v>139</v>
      </c>
      <c r="C107" s="47" t="s">
        <v>243</v>
      </c>
      <c r="D107" s="47" t="s">
        <v>244</v>
      </c>
      <c r="E107" s="32">
        <v>0</v>
      </c>
      <c r="F107" s="48">
        <f t="shared" si="1"/>
        <v>0</v>
      </c>
      <c r="G107" s="47" t="s">
        <v>245</v>
      </c>
    </row>
    <row r="108" spans="1:7" x14ac:dyDescent="0.3">
      <c r="A108" s="45" t="s">
        <v>246</v>
      </c>
      <c r="B108" s="46">
        <f>$B$70*$B$80</f>
        <v>2.9853485417721601</v>
      </c>
      <c r="C108" s="47" t="s">
        <v>110</v>
      </c>
      <c r="D108" s="47" t="s">
        <v>247</v>
      </c>
      <c r="E108" s="32">
        <v>0</v>
      </c>
      <c r="F108" s="48">
        <f t="shared" si="1"/>
        <v>0</v>
      </c>
      <c r="G108" s="47" t="s">
        <v>248</v>
      </c>
    </row>
    <row r="109" spans="1:7" x14ac:dyDescent="0.3">
      <c r="A109" s="45" t="s">
        <v>249</v>
      </c>
      <c r="B109" s="46">
        <f>$B$70*$B$76</f>
        <v>896.31289759858794</v>
      </c>
      <c r="C109" s="47" t="s">
        <v>110</v>
      </c>
      <c r="D109" s="47" t="s">
        <v>250</v>
      </c>
      <c r="E109" s="32">
        <v>0</v>
      </c>
      <c r="F109" s="48">
        <f t="shared" si="1"/>
        <v>0</v>
      </c>
      <c r="G109" s="47" t="s">
        <v>251</v>
      </c>
    </row>
    <row r="110" spans="1:7" x14ac:dyDescent="0.3">
      <c r="A110" s="50" t="s">
        <v>252</v>
      </c>
      <c r="B110" s="51"/>
      <c r="C110" s="51"/>
      <c r="D110" s="51"/>
      <c r="E110" s="51"/>
      <c r="F110" s="52">
        <f>SUM(F104:F109)</f>
        <v>4766.8258101851852</v>
      </c>
      <c r="G110" s="51"/>
    </row>
    <row r="112" spans="1:7" x14ac:dyDescent="0.3">
      <c r="A112" s="22" t="s">
        <v>253</v>
      </c>
    </row>
    <row r="113" spans="1:7" x14ac:dyDescent="0.3">
      <c r="A113" s="45" t="s">
        <v>254</v>
      </c>
      <c r="B113" s="49">
        <f>$B$66*$B$64</f>
        <v>120</v>
      </c>
      <c r="C113" s="47" t="s">
        <v>76</v>
      </c>
      <c r="D113" s="47" t="s">
        <v>255</v>
      </c>
      <c r="E113" s="32">
        <v>0.6</v>
      </c>
      <c r="F113" s="48">
        <f>B113*E113</f>
        <v>72</v>
      </c>
      <c r="G113" s="47" t="s">
        <v>256</v>
      </c>
    </row>
    <row r="114" spans="1:7" x14ac:dyDescent="0.3">
      <c r="A114" s="50" t="s">
        <v>257</v>
      </c>
      <c r="B114" s="51"/>
      <c r="C114" s="51"/>
      <c r="D114" s="51"/>
      <c r="E114" s="51"/>
      <c r="F114" s="52">
        <f>SUM(F113:F113)</f>
        <v>72</v>
      </c>
      <c r="G114" s="51"/>
    </row>
    <row r="116" spans="1:7" x14ac:dyDescent="0.3">
      <c r="A116" s="22" t="s">
        <v>258</v>
      </c>
    </row>
    <row r="117" spans="1:7" x14ac:dyDescent="0.3">
      <c r="A117" s="45" t="s">
        <v>259</v>
      </c>
      <c r="B117" s="46">
        <f>$B$60*1.1</f>
        <v>577.5</v>
      </c>
      <c r="C117" s="47" t="s">
        <v>143</v>
      </c>
      <c r="D117" s="47" t="s">
        <v>260</v>
      </c>
      <c r="E117" s="32">
        <v>0.12</v>
      </c>
      <c r="F117" s="48">
        <f>B117*E117</f>
        <v>69.3</v>
      </c>
      <c r="G117" s="47" t="s">
        <v>221</v>
      </c>
    </row>
    <row r="118" spans="1:7" x14ac:dyDescent="0.3">
      <c r="A118" s="45" t="s">
        <v>261</v>
      </c>
      <c r="B118" s="46">
        <f>2*($B$13+$B$14)/12</f>
        <v>92</v>
      </c>
      <c r="C118" s="47" t="s">
        <v>195</v>
      </c>
      <c r="D118" s="47" t="s">
        <v>262</v>
      </c>
      <c r="E118" s="32">
        <v>1.8</v>
      </c>
      <c r="F118" s="48">
        <f>B118*E118</f>
        <v>165.6</v>
      </c>
      <c r="G118" s="47" t="s">
        <v>221</v>
      </c>
    </row>
    <row r="119" spans="1:7" x14ac:dyDescent="0.3">
      <c r="A119" s="50" t="s">
        <v>263</v>
      </c>
      <c r="B119" s="51"/>
      <c r="C119" s="51"/>
      <c r="D119" s="51"/>
      <c r="E119" s="51"/>
      <c r="F119" s="52">
        <f>SUM(F117:F118)</f>
        <v>234.89999999999998</v>
      </c>
      <c r="G119" s="51"/>
    </row>
    <row r="121" spans="1:7" x14ac:dyDescent="0.3">
      <c r="A121" s="22" t="s">
        <v>264</v>
      </c>
    </row>
    <row r="122" spans="1:7" x14ac:dyDescent="0.3">
      <c r="A122" s="45" t="s">
        <v>265</v>
      </c>
      <c r="B122" s="46">
        <f>$B$60</f>
        <v>525</v>
      </c>
      <c r="C122" s="47" t="s">
        <v>143</v>
      </c>
      <c r="D122" s="47" t="s">
        <v>266</v>
      </c>
      <c r="E122" s="32">
        <v>8</v>
      </c>
      <c r="F122" s="48">
        <f>B122*E122</f>
        <v>4200</v>
      </c>
      <c r="G122" s="47" t="s">
        <v>267</v>
      </c>
    </row>
    <row r="123" spans="1:7" x14ac:dyDescent="0.3">
      <c r="A123" s="50" t="s">
        <v>268</v>
      </c>
      <c r="B123" s="51"/>
      <c r="C123" s="51"/>
      <c r="D123" s="51"/>
      <c r="E123" s="51"/>
      <c r="F123" s="52">
        <f>SUM(F122:F122)</f>
        <v>4200</v>
      </c>
      <c r="G123" s="51"/>
    </row>
    <row r="125" spans="1:7" x14ac:dyDescent="0.3">
      <c r="A125" s="22" t="s">
        <v>269</v>
      </c>
    </row>
    <row r="126" spans="1:7" x14ac:dyDescent="0.3">
      <c r="A126" s="45" t="s">
        <v>128</v>
      </c>
      <c r="B126" s="49">
        <f>$B$52</f>
        <v>16</v>
      </c>
      <c r="C126" s="47" t="s">
        <v>129</v>
      </c>
      <c r="D126" s="47" t="s">
        <v>270</v>
      </c>
      <c r="E126" s="53">
        <f t="shared" ref="E126:E131" si="2">$B$51</f>
        <v>35</v>
      </c>
      <c r="F126" s="48">
        <f t="shared" ref="F126:F131" si="3">B126*E126</f>
        <v>560</v>
      </c>
      <c r="G126" s="47" t="s">
        <v>271</v>
      </c>
    </row>
    <row r="127" spans="1:7" x14ac:dyDescent="0.3">
      <c r="A127" s="45" t="s">
        <v>272</v>
      </c>
      <c r="B127" s="49">
        <f>$B$60*$B$53</f>
        <v>63</v>
      </c>
      <c r="C127" s="47" t="s">
        <v>129</v>
      </c>
      <c r="D127" s="47" t="s">
        <v>273</v>
      </c>
      <c r="E127" s="53">
        <f t="shared" si="2"/>
        <v>35</v>
      </c>
      <c r="F127" s="48">
        <f t="shared" si="3"/>
        <v>2205</v>
      </c>
      <c r="G127" s="47" t="s">
        <v>271</v>
      </c>
    </row>
    <row r="128" spans="1:7" x14ac:dyDescent="0.3">
      <c r="A128" s="45" t="s">
        <v>134</v>
      </c>
      <c r="B128" s="49">
        <f>$B$60*$B$54</f>
        <v>15.75</v>
      </c>
      <c r="C128" s="47" t="s">
        <v>129</v>
      </c>
      <c r="D128" s="47" t="s">
        <v>273</v>
      </c>
      <c r="E128" s="53">
        <f t="shared" si="2"/>
        <v>35</v>
      </c>
      <c r="F128" s="48">
        <f t="shared" si="3"/>
        <v>551.25</v>
      </c>
      <c r="G128" s="47" t="s">
        <v>271</v>
      </c>
    </row>
    <row r="129" spans="1:7" x14ac:dyDescent="0.3">
      <c r="A129" s="45" t="s">
        <v>274</v>
      </c>
      <c r="B129" s="49">
        <f>$B$67*(1+$B$42)*$B$55</f>
        <v>17.378472222222221</v>
      </c>
      <c r="C129" s="47" t="s">
        <v>129</v>
      </c>
      <c r="D129" s="47" t="s">
        <v>275</v>
      </c>
      <c r="E129" s="53">
        <f t="shared" si="2"/>
        <v>35</v>
      </c>
      <c r="F129" s="48">
        <f t="shared" si="3"/>
        <v>608.24652777777771</v>
      </c>
      <c r="G129" s="47" t="s">
        <v>271</v>
      </c>
    </row>
    <row r="130" spans="1:7" x14ac:dyDescent="0.3">
      <c r="A130" s="45" t="s">
        <v>276</v>
      </c>
      <c r="B130" s="49">
        <f>$B$68*(1+$B$42)*$B$56</f>
        <v>20.163483796296298</v>
      </c>
      <c r="C130" s="47" t="s">
        <v>129</v>
      </c>
      <c r="D130" s="47" t="s">
        <v>275</v>
      </c>
      <c r="E130" s="53">
        <f t="shared" si="2"/>
        <v>35</v>
      </c>
      <c r="F130" s="48">
        <f t="shared" si="3"/>
        <v>705.72193287037044</v>
      </c>
      <c r="G130" s="47" t="s">
        <v>271</v>
      </c>
    </row>
    <row r="131" spans="1:7" x14ac:dyDescent="0.3">
      <c r="A131" s="45" t="s">
        <v>277</v>
      </c>
      <c r="B131" s="49">
        <f>$B$57</f>
        <v>32</v>
      </c>
      <c r="C131" s="47" t="s">
        <v>129</v>
      </c>
      <c r="D131" s="47" t="s">
        <v>270</v>
      </c>
      <c r="E131" s="53">
        <f t="shared" si="2"/>
        <v>35</v>
      </c>
      <c r="F131" s="48">
        <f t="shared" si="3"/>
        <v>1120</v>
      </c>
      <c r="G131" s="47" t="s">
        <v>278</v>
      </c>
    </row>
    <row r="132" spans="1:7" x14ac:dyDescent="0.3">
      <c r="A132" s="50" t="s">
        <v>279</v>
      </c>
      <c r="B132" s="51"/>
      <c r="C132" s="51"/>
      <c r="D132" s="51"/>
      <c r="E132" s="51"/>
      <c r="F132" s="52">
        <f>SUM(F126:F131)</f>
        <v>5750.2184606481478</v>
      </c>
      <c r="G132" s="51"/>
    </row>
    <row r="134" spans="1:7" x14ac:dyDescent="0.3">
      <c r="A134" s="54" t="s">
        <v>280</v>
      </c>
      <c r="B134" s="19"/>
      <c r="C134" s="19"/>
      <c r="D134" s="19"/>
      <c r="E134" s="19"/>
      <c r="F134" s="55">
        <f>SUM(F96,F101,F110,F114,F119,F123,F132)</f>
        <v>18016.329270833332</v>
      </c>
      <c r="G134" s="19"/>
    </row>
    <row r="135" spans="1:7" x14ac:dyDescent="0.3">
      <c r="A135" s="6" t="s">
        <v>31</v>
      </c>
      <c r="B135" s="56">
        <f>$B$48</f>
        <v>0.1</v>
      </c>
      <c r="F135" s="57">
        <f>$F$134*$B$48</f>
        <v>1801.6329270833332</v>
      </c>
    </row>
    <row r="136" spans="1:7" x14ac:dyDescent="0.3">
      <c r="A136" s="58" t="s">
        <v>32</v>
      </c>
      <c r="B136" s="19"/>
      <c r="C136" s="19"/>
      <c r="D136" s="19"/>
      <c r="E136" s="19"/>
      <c r="F136" s="59">
        <f>$F$134*(1+$B$48)</f>
        <v>19817.962197916666</v>
      </c>
      <c r="G136" s="19"/>
    </row>
    <row r="137" spans="1:7" x14ac:dyDescent="0.3">
      <c r="A137" s="6" t="s">
        <v>33</v>
      </c>
      <c r="F137" s="60">
        <f>$F$136/$B$60</f>
        <v>37.748499424603175</v>
      </c>
    </row>
    <row r="138" spans="1:7" x14ac:dyDescent="0.3">
      <c r="A138" s="2" t="s">
        <v>281</v>
      </c>
    </row>
    <row r="139" spans="1:7" x14ac:dyDescent="0.3">
      <c r="A139" s="2" t="s">
        <v>282</v>
      </c>
    </row>
  </sheetData>
  <hyperlinks>
    <hyperlink ref="F4" location="'Summary'!A1" display="← Summary" xr:uid="{00000000-0004-0000-01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6"/>
  <sheetViews>
    <sheetView showGridLines="0" workbookViewId="0"/>
  </sheetViews>
  <sheetFormatPr defaultRowHeight="14.4" x14ac:dyDescent="0.3"/>
  <cols>
    <col min="1" max="1" width="40" customWidth="1"/>
    <col min="2" max="2" width="14" customWidth="1"/>
    <col min="3" max="3" width="12" customWidth="1"/>
    <col min="4" max="4" width="34" customWidth="1"/>
    <col min="5" max="5" width="14" customWidth="1"/>
    <col min="6" max="6" width="16" customWidth="1"/>
    <col min="7" max="7" width="58" customWidth="1"/>
  </cols>
  <sheetData>
    <row r="1" spans="1:7" ht="17.399999999999999" x14ac:dyDescent="0.3">
      <c r="A1" s="21" t="s">
        <v>283</v>
      </c>
    </row>
    <row r="2" spans="1:7" ht="43.95" customHeight="1" x14ac:dyDescent="0.3">
      <c r="A2" s="67" t="s">
        <v>284</v>
      </c>
      <c r="B2" s="68"/>
      <c r="C2" s="68"/>
      <c r="D2" s="68"/>
      <c r="E2" s="68"/>
      <c r="F2" s="68"/>
      <c r="G2" s="68"/>
    </row>
    <row r="3" spans="1:7" x14ac:dyDescent="0.3">
      <c r="A3" s="3" t="s">
        <v>45</v>
      </c>
    </row>
    <row r="5" spans="1:7" x14ac:dyDescent="0.3">
      <c r="A5" s="4" t="s">
        <v>285</v>
      </c>
      <c r="B5" s="5"/>
      <c r="C5" s="5"/>
      <c r="D5" s="5"/>
      <c r="E5" s="5"/>
      <c r="F5" s="5"/>
      <c r="G5" s="5"/>
    </row>
    <row r="6" spans="1:7" x14ac:dyDescent="0.3">
      <c r="A6" s="6" t="s">
        <v>286</v>
      </c>
      <c r="B6" s="61">
        <f>Estimate!$B$13</f>
        <v>300</v>
      </c>
      <c r="C6" s="2" t="s">
        <v>55</v>
      </c>
      <c r="D6" s="2" t="s">
        <v>287</v>
      </c>
    </row>
    <row r="7" spans="1:7" x14ac:dyDescent="0.3">
      <c r="A7" s="6" t="s">
        <v>288</v>
      </c>
      <c r="B7" s="61">
        <f>Estimate!$B$14</f>
        <v>252</v>
      </c>
      <c r="C7" s="2" t="s">
        <v>55</v>
      </c>
      <c r="D7" s="2" t="s">
        <v>287</v>
      </c>
    </row>
    <row r="8" spans="1:7" x14ac:dyDescent="0.3">
      <c r="A8" s="6" t="s">
        <v>289</v>
      </c>
      <c r="B8" s="37">
        <f>$B$6*$B$7/144</f>
        <v>525</v>
      </c>
      <c r="C8" s="2" t="s">
        <v>143</v>
      </c>
      <c r="D8" s="2"/>
    </row>
    <row r="9" spans="1:7" x14ac:dyDescent="0.3">
      <c r="A9" s="6" t="s">
        <v>290</v>
      </c>
      <c r="B9" s="37">
        <f>2*($B$6+$B$7)/12</f>
        <v>92</v>
      </c>
      <c r="C9" s="2" t="s">
        <v>195</v>
      </c>
      <c r="D9" s="2"/>
    </row>
    <row r="10" spans="1:7" x14ac:dyDescent="0.3">
      <c r="A10" s="6" t="s">
        <v>125</v>
      </c>
      <c r="B10" s="20">
        <f>Estimate!$B$51</f>
        <v>35</v>
      </c>
      <c r="C10" s="2" t="s">
        <v>126</v>
      </c>
      <c r="D10" s="2" t="s">
        <v>291</v>
      </c>
    </row>
    <row r="11" spans="1:7" x14ac:dyDescent="0.3">
      <c r="A11" s="6" t="s">
        <v>292</v>
      </c>
      <c r="B11" s="32">
        <v>160</v>
      </c>
      <c r="C11" s="2" t="s">
        <v>94</v>
      </c>
      <c r="D11" s="2" t="s">
        <v>293</v>
      </c>
    </row>
    <row r="12" spans="1:7" x14ac:dyDescent="0.3">
      <c r="A12" s="6" t="s">
        <v>294</v>
      </c>
      <c r="B12" s="32">
        <v>35</v>
      </c>
      <c r="C12" s="2" t="s">
        <v>94</v>
      </c>
      <c r="D12" s="2" t="s">
        <v>295</v>
      </c>
    </row>
    <row r="13" spans="1:7" x14ac:dyDescent="0.3">
      <c r="A13" s="6" t="s">
        <v>296</v>
      </c>
      <c r="B13" s="32">
        <v>0.9</v>
      </c>
      <c r="C13" s="2" t="s">
        <v>297</v>
      </c>
      <c r="D13" s="2" t="s">
        <v>295</v>
      </c>
    </row>
    <row r="14" spans="1:7" x14ac:dyDescent="0.3">
      <c r="A14" s="6" t="s">
        <v>298</v>
      </c>
      <c r="B14" s="32">
        <v>0.35</v>
      </c>
      <c r="C14" s="2" t="s">
        <v>299</v>
      </c>
      <c r="D14" s="2" t="s">
        <v>295</v>
      </c>
    </row>
    <row r="15" spans="1:7" x14ac:dyDescent="0.3">
      <c r="A15" s="6" t="s">
        <v>300</v>
      </c>
      <c r="B15" s="32">
        <v>0.12</v>
      </c>
      <c r="C15" s="2" t="s">
        <v>299</v>
      </c>
      <c r="D15" s="2" t="s">
        <v>295</v>
      </c>
    </row>
    <row r="16" spans="1:7" x14ac:dyDescent="0.3">
      <c r="A16" s="6" t="s">
        <v>301</v>
      </c>
      <c r="B16" s="32">
        <v>2</v>
      </c>
      <c r="C16" s="2" t="s">
        <v>297</v>
      </c>
      <c r="D16" s="2" t="s">
        <v>302</v>
      </c>
    </row>
    <row r="17" spans="1:7" x14ac:dyDescent="0.3">
      <c r="A17" s="6" t="s">
        <v>31</v>
      </c>
      <c r="B17" s="62">
        <f>Estimate!$B$48</f>
        <v>0.1</v>
      </c>
      <c r="C17" s="2" t="s">
        <v>112</v>
      </c>
      <c r="D17" s="2" t="s">
        <v>303</v>
      </c>
    </row>
    <row r="19" spans="1:7" x14ac:dyDescent="0.3">
      <c r="A19" s="4" t="s">
        <v>37</v>
      </c>
      <c r="B19" s="5"/>
      <c r="C19" s="5"/>
      <c r="D19" s="5"/>
      <c r="E19" s="5"/>
      <c r="F19" s="5"/>
      <c r="G19" s="5"/>
    </row>
    <row r="20" spans="1:7" x14ac:dyDescent="0.3">
      <c r="A20" s="6" t="s">
        <v>304</v>
      </c>
      <c r="B20" s="30">
        <v>4</v>
      </c>
      <c r="C20" s="2" t="s">
        <v>55</v>
      </c>
      <c r="D20" s="2" t="s">
        <v>305</v>
      </c>
    </row>
    <row r="21" spans="1:7" x14ac:dyDescent="0.3">
      <c r="A21" s="6" t="s">
        <v>306</v>
      </c>
      <c r="B21" s="30">
        <v>12</v>
      </c>
      <c r="C21" s="2" t="s">
        <v>55</v>
      </c>
      <c r="D21" s="2" t="s">
        <v>307</v>
      </c>
    </row>
    <row r="22" spans="1:7" x14ac:dyDescent="0.3">
      <c r="A22" s="6" t="s">
        <v>308</v>
      </c>
      <c r="B22" s="30">
        <v>12</v>
      </c>
      <c r="C22" s="2" t="s">
        <v>55</v>
      </c>
      <c r="D22" s="2" t="s">
        <v>305</v>
      </c>
    </row>
    <row r="23" spans="1:7" x14ac:dyDescent="0.3">
      <c r="A23" s="6" t="s">
        <v>309</v>
      </c>
      <c r="B23" s="30">
        <v>4</v>
      </c>
      <c r="C23" s="2" t="s">
        <v>55</v>
      </c>
      <c r="D23" s="2" t="s">
        <v>305</v>
      </c>
    </row>
    <row r="24" spans="1:7" x14ac:dyDescent="0.3">
      <c r="A24" s="6" t="s">
        <v>310</v>
      </c>
      <c r="B24" s="30">
        <v>2</v>
      </c>
      <c r="C24" s="2" t="s">
        <v>76</v>
      </c>
      <c r="D24" s="2" t="s">
        <v>311</v>
      </c>
    </row>
    <row r="25" spans="1:7" x14ac:dyDescent="0.3">
      <c r="A25" s="6" t="s">
        <v>312</v>
      </c>
      <c r="B25" s="30">
        <v>0.03</v>
      </c>
      <c r="C25" s="2" t="s">
        <v>132</v>
      </c>
      <c r="D25" s="2" t="s">
        <v>305</v>
      </c>
    </row>
    <row r="26" spans="1:7" x14ac:dyDescent="0.3">
      <c r="A26" s="6" t="s">
        <v>313</v>
      </c>
      <c r="B26" s="30">
        <v>0.05</v>
      </c>
      <c r="C26" s="2" t="s">
        <v>132</v>
      </c>
      <c r="D26" s="2" t="s">
        <v>314</v>
      </c>
    </row>
    <row r="27" spans="1:7" x14ac:dyDescent="0.3">
      <c r="A27" s="6" t="s">
        <v>315</v>
      </c>
      <c r="B27" s="30">
        <v>0.25</v>
      </c>
      <c r="C27" s="2" t="s">
        <v>316</v>
      </c>
      <c r="D27" s="2" t="s">
        <v>305</v>
      </c>
    </row>
    <row r="28" spans="1:7" x14ac:dyDescent="0.3">
      <c r="A28" s="6" t="s">
        <v>317</v>
      </c>
      <c r="B28" s="38">
        <f>$B$8*$B$20/12/27</f>
        <v>6.4814814814814818</v>
      </c>
      <c r="C28" s="2" t="s">
        <v>155</v>
      </c>
      <c r="D28" s="2"/>
    </row>
    <row r="29" spans="1:7" x14ac:dyDescent="0.3">
      <c r="A29" s="6" t="s">
        <v>318</v>
      </c>
      <c r="B29" s="38">
        <f>$B$9*$B$21/12*$B$22/12/27</f>
        <v>3.4074074074074074</v>
      </c>
      <c r="C29" s="2" t="s">
        <v>155</v>
      </c>
      <c r="D29" s="2"/>
    </row>
    <row r="30" spans="1:7" x14ac:dyDescent="0.3">
      <c r="A30" s="6" t="s">
        <v>319</v>
      </c>
      <c r="B30" s="38">
        <f>($B$28+$B$29)*(1+Estimate!$B$42)</f>
        <v>10.877777777777778</v>
      </c>
      <c r="C30" s="2" t="s">
        <v>155</v>
      </c>
      <c r="D30" s="2" t="s">
        <v>320</v>
      </c>
    </row>
    <row r="32" spans="1:7" x14ac:dyDescent="0.3">
      <c r="A32" s="44" t="s">
        <v>186</v>
      </c>
      <c r="B32" s="44" t="s">
        <v>187</v>
      </c>
      <c r="C32" s="44" t="s">
        <v>188</v>
      </c>
      <c r="D32" s="44" t="s">
        <v>321</v>
      </c>
      <c r="E32" s="44" t="s">
        <v>190</v>
      </c>
      <c r="F32" s="44" t="s">
        <v>191</v>
      </c>
      <c r="G32" s="44" t="s">
        <v>322</v>
      </c>
    </row>
    <row r="33" spans="1:7" x14ac:dyDescent="0.3">
      <c r="A33" s="45" t="s">
        <v>323</v>
      </c>
      <c r="B33" s="46">
        <f>$B$30</f>
        <v>10.877777777777778</v>
      </c>
      <c r="C33" s="47" t="s">
        <v>155</v>
      </c>
      <c r="D33" s="47" t="s">
        <v>324</v>
      </c>
      <c r="E33" s="53">
        <f>$B$11</f>
        <v>160</v>
      </c>
      <c r="F33" s="48">
        <f t="shared" ref="F33:F41" si="0">B33*E33</f>
        <v>1740.4444444444446</v>
      </c>
      <c r="G33" s="47"/>
    </row>
    <row r="34" spans="1:7" x14ac:dyDescent="0.3">
      <c r="A34" s="45" t="s">
        <v>294</v>
      </c>
      <c r="B34" s="46">
        <f>$B$8*$B$23/12/27*1.1</f>
        <v>7.1296296296296306</v>
      </c>
      <c r="C34" s="47" t="s">
        <v>155</v>
      </c>
      <c r="D34" s="47" t="s">
        <v>325</v>
      </c>
      <c r="E34" s="53">
        <f>$B$12</f>
        <v>35</v>
      </c>
      <c r="F34" s="48">
        <f t="shared" si="0"/>
        <v>249.53703703703707</v>
      </c>
      <c r="G34" s="47"/>
    </row>
    <row r="35" spans="1:7" x14ac:dyDescent="0.3">
      <c r="A35" s="45" t="s">
        <v>300</v>
      </c>
      <c r="B35" s="46">
        <f>$B$8*1.1</f>
        <v>577.5</v>
      </c>
      <c r="C35" s="47" t="s">
        <v>143</v>
      </c>
      <c r="D35" s="47" t="s">
        <v>326</v>
      </c>
      <c r="E35" s="53">
        <f>$B$15</f>
        <v>0.12</v>
      </c>
      <c r="F35" s="48">
        <f t="shared" si="0"/>
        <v>69.3</v>
      </c>
      <c r="G35" s="47"/>
    </row>
    <row r="36" spans="1:7" x14ac:dyDescent="0.3">
      <c r="A36" s="45" t="s">
        <v>327</v>
      </c>
      <c r="B36" s="46">
        <f>$B$8*1.1</f>
        <v>577.5</v>
      </c>
      <c r="C36" s="47" t="s">
        <v>143</v>
      </c>
      <c r="D36" s="47" t="s">
        <v>328</v>
      </c>
      <c r="E36" s="53">
        <f>$B$14</f>
        <v>0.35</v>
      </c>
      <c r="F36" s="48">
        <f t="shared" si="0"/>
        <v>202.125</v>
      </c>
      <c r="G36" s="47"/>
    </row>
    <row r="37" spans="1:7" x14ac:dyDescent="0.3">
      <c r="A37" s="45" t="s">
        <v>329</v>
      </c>
      <c r="B37" s="46">
        <f>$B$9*$B$24*1.1</f>
        <v>202.4</v>
      </c>
      <c r="C37" s="47" t="s">
        <v>195</v>
      </c>
      <c r="D37" s="47" t="s">
        <v>330</v>
      </c>
      <c r="E37" s="53">
        <f>$B$13</f>
        <v>0.9</v>
      </c>
      <c r="F37" s="48">
        <f t="shared" si="0"/>
        <v>182.16</v>
      </c>
      <c r="G37" s="47"/>
    </row>
    <row r="38" spans="1:7" x14ac:dyDescent="0.3">
      <c r="A38" s="45" t="s">
        <v>331</v>
      </c>
      <c r="B38" s="46">
        <f>$B$9</f>
        <v>92</v>
      </c>
      <c r="C38" s="47" t="s">
        <v>195</v>
      </c>
      <c r="D38" s="47" t="s">
        <v>332</v>
      </c>
      <c r="E38" s="53">
        <f>$B$16</f>
        <v>2</v>
      </c>
      <c r="F38" s="48">
        <f t="shared" si="0"/>
        <v>184</v>
      </c>
      <c r="G38" s="47"/>
    </row>
    <row r="39" spans="1:7" x14ac:dyDescent="0.3">
      <c r="A39" s="45" t="s">
        <v>333</v>
      </c>
      <c r="B39" s="46">
        <f>$B$8*$B$25</f>
        <v>15.75</v>
      </c>
      <c r="C39" s="47" t="s">
        <v>129</v>
      </c>
      <c r="D39" s="47" t="s">
        <v>334</v>
      </c>
      <c r="E39" s="53">
        <f>$B$10</f>
        <v>35</v>
      </c>
      <c r="F39" s="48">
        <f t="shared" si="0"/>
        <v>551.25</v>
      </c>
      <c r="G39" s="47"/>
    </row>
    <row r="40" spans="1:7" x14ac:dyDescent="0.3">
      <c r="A40" s="45" t="s">
        <v>335</v>
      </c>
      <c r="B40" s="46">
        <f>$B$8*$B$26</f>
        <v>26.25</v>
      </c>
      <c r="C40" s="47" t="s">
        <v>129</v>
      </c>
      <c r="D40" s="47" t="s">
        <v>334</v>
      </c>
      <c r="E40" s="53">
        <f>$B$10</f>
        <v>35</v>
      </c>
      <c r="F40" s="48">
        <f t="shared" si="0"/>
        <v>918.75</v>
      </c>
      <c r="G40" s="47"/>
    </row>
    <row r="41" spans="1:7" x14ac:dyDescent="0.3">
      <c r="A41" s="45" t="s">
        <v>336</v>
      </c>
      <c r="B41" s="46">
        <f>$B$9*$B$27</f>
        <v>23</v>
      </c>
      <c r="C41" s="47" t="s">
        <v>129</v>
      </c>
      <c r="D41" s="47" t="s">
        <v>334</v>
      </c>
      <c r="E41" s="53">
        <f>$B$10</f>
        <v>35</v>
      </c>
      <c r="F41" s="48">
        <f t="shared" si="0"/>
        <v>805</v>
      </c>
      <c r="G41" s="47"/>
    </row>
    <row r="42" spans="1:7" x14ac:dyDescent="0.3">
      <c r="A42" s="50" t="s">
        <v>337</v>
      </c>
      <c r="B42" s="51"/>
      <c r="C42" s="51"/>
      <c r="D42" s="51"/>
      <c r="E42" s="51"/>
      <c r="F42" s="52">
        <f>SUM(F33:F41)</f>
        <v>4902.5664814814818</v>
      </c>
      <c r="G42" s="51"/>
    </row>
    <row r="44" spans="1:7" x14ac:dyDescent="0.3">
      <c r="A44" s="4" t="s">
        <v>338</v>
      </c>
      <c r="B44" s="5"/>
      <c r="C44" s="5"/>
      <c r="D44" s="5"/>
      <c r="E44" s="5"/>
      <c r="F44" s="5"/>
      <c r="G44" s="5"/>
    </row>
    <row r="45" spans="1:7" x14ac:dyDescent="0.3">
      <c r="A45" s="6" t="s">
        <v>339</v>
      </c>
      <c r="B45" s="30">
        <v>16</v>
      </c>
      <c r="C45" s="2" t="s">
        <v>55</v>
      </c>
      <c r="D45" s="2" t="s">
        <v>340</v>
      </c>
    </row>
    <row r="46" spans="1:7" x14ac:dyDescent="0.3">
      <c r="A46" s="6" t="s">
        <v>341</v>
      </c>
      <c r="B46" s="30">
        <v>8</v>
      </c>
      <c r="C46" s="2" t="s">
        <v>55</v>
      </c>
      <c r="D46" s="2" t="s">
        <v>305</v>
      </c>
    </row>
    <row r="47" spans="1:7" x14ac:dyDescent="0.3">
      <c r="A47" s="6" t="s">
        <v>342</v>
      </c>
      <c r="B47" s="30">
        <v>1</v>
      </c>
      <c r="C47" s="2" t="s">
        <v>343</v>
      </c>
      <c r="D47" s="2" t="s">
        <v>344</v>
      </c>
    </row>
    <row r="48" spans="1:7" x14ac:dyDescent="0.3">
      <c r="A48" s="6" t="s">
        <v>345</v>
      </c>
      <c r="B48" s="30">
        <v>2</v>
      </c>
      <c r="C48" s="2" t="s">
        <v>76</v>
      </c>
      <c r="D48" s="2" t="s">
        <v>311</v>
      </c>
    </row>
    <row r="49" spans="1:4" x14ac:dyDescent="0.3">
      <c r="A49" s="6" t="s">
        <v>346</v>
      </c>
      <c r="B49" s="32">
        <v>8</v>
      </c>
      <c r="C49" s="2" t="s">
        <v>297</v>
      </c>
      <c r="D49" s="2" t="s">
        <v>347</v>
      </c>
    </row>
    <row r="50" spans="1:4" x14ac:dyDescent="0.3">
      <c r="A50" s="6" t="s">
        <v>348</v>
      </c>
      <c r="B50" s="30">
        <v>0.5</v>
      </c>
      <c r="C50" s="2" t="s">
        <v>316</v>
      </c>
      <c r="D50" s="2" t="s">
        <v>305</v>
      </c>
    </row>
    <row r="51" spans="1:4" x14ac:dyDescent="0.3">
      <c r="A51" s="6" t="s">
        <v>349</v>
      </c>
      <c r="B51" s="37">
        <f>$B$9+IF($B$47=1,$B$6/12,0)</f>
        <v>117</v>
      </c>
      <c r="C51" s="2" t="s">
        <v>195</v>
      </c>
      <c r="D51" s="2"/>
    </row>
    <row r="52" spans="1:4" x14ac:dyDescent="0.3">
      <c r="A52" s="6" t="s">
        <v>350</v>
      </c>
      <c r="B52" s="38">
        <f>$B$51*$B$45/12*$B$46/12/27*(1+Estimate!$B$42)</f>
        <v>4.2370370370370374</v>
      </c>
      <c r="C52" s="2" t="s">
        <v>155</v>
      </c>
      <c r="D52" s="2"/>
    </row>
    <row r="54" spans="1:4" x14ac:dyDescent="0.3">
      <c r="A54" s="22" t="s">
        <v>351</v>
      </c>
    </row>
    <row r="55" spans="1:4" x14ac:dyDescent="0.3">
      <c r="A55" s="6" t="s">
        <v>352</v>
      </c>
      <c r="B55" s="61">
        <f>Estimate!$B$15</f>
        <v>2</v>
      </c>
      <c r="C55" s="2" t="s">
        <v>55</v>
      </c>
      <c r="D55" s="2" t="s">
        <v>303</v>
      </c>
    </row>
    <row r="56" spans="1:4" x14ac:dyDescent="0.3">
      <c r="A56" s="6" t="s">
        <v>60</v>
      </c>
      <c r="B56" s="61">
        <f>Estimate!$B$16</f>
        <v>1.5</v>
      </c>
      <c r="C56" s="2" t="s">
        <v>55</v>
      </c>
      <c r="D56" s="2" t="s">
        <v>303</v>
      </c>
    </row>
    <row r="57" spans="1:4" x14ac:dyDescent="0.3">
      <c r="A57" s="6" t="s">
        <v>62</v>
      </c>
      <c r="B57" s="61">
        <f>Estimate!$B$17</f>
        <v>6</v>
      </c>
      <c r="C57" s="2" t="s">
        <v>55</v>
      </c>
      <c r="D57" s="2" t="s">
        <v>303</v>
      </c>
    </row>
    <row r="58" spans="1:4" x14ac:dyDescent="0.3">
      <c r="A58" s="6" t="s">
        <v>353</v>
      </c>
      <c r="B58" s="61">
        <f>Estimate!$B$19</f>
        <v>6.5</v>
      </c>
      <c r="C58" s="2" t="s">
        <v>55</v>
      </c>
      <c r="D58" s="2" t="s">
        <v>354</v>
      </c>
    </row>
    <row r="59" spans="1:4" x14ac:dyDescent="0.3">
      <c r="A59" s="6" t="s">
        <v>69</v>
      </c>
      <c r="B59" s="61">
        <f>Estimate!$B$21</f>
        <v>16</v>
      </c>
      <c r="C59" s="2" t="s">
        <v>70</v>
      </c>
      <c r="D59" s="2" t="s">
        <v>303</v>
      </c>
    </row>
    <row r="60" spans="1:4" x14ac:dyDescent="0.3">
      <c r="A60" s="6" t="s">
        <v>355</v>
      </c>
      <c r="B60" s="61">
        <f>Estimate!$B$22</f>
        <v>1.625</v>
      </c>
      <c r="C60" s="2" t="s">
        <v>55</v>
      </c>
      <c r="D60" s="2" t="s">
        <v>303</v>
      </c>
    </row>
    <row r="61" spans="1:4" x14ac:dyDescent="0.3">
      <c r="A61" s="6" t="s">
        <v>356</v>
      </c>
      <c r="B61" s="61">
        <f>Estimate!$B$23</f>
        <v>48</v>
      </c>
      <c r="C61" s="2" t="s">
        <v>55</v>
      </c>
      <c r="D61" s="2" t="s">
        <v>357</v>
      </c>
    </row>
    <row r="62" spans="1:4" x14ac:dyDescent="0.3">
      <c r="A62" s="6" t="s">
        <v>358</v>
      </c>
      <c r="B62" s="61">
        <f>Estimate!$B$28</f>
        <v>8</v>
      </c>
      <c r="C62" s="2" t="s">
        <v>76</v>
      </c>
      <c r="D62" s="2" t="s">
        <v>303</v>
      </c>
    </row>
    <row r="63" spans="1:4" x14ac:dyDescent="0.3">
      <c r="A63" s="6" t="s">
        <v>359</v>
      </c>
      <c r="B63" s="32">
        <v>2.42</v>
      </c>
      <c r="C63" s="2" t="s">
        <v>297</v>
      </c>
      <c r="D63" s="2" t="s">
        <v>360</v>
      </c>
    </row>
    <row r="64" spans="1:4" x14ac:dyDescent="0.3">
      <c r="A64" s="6" t="s">
        <v>361</v>
      </c>
      <c r="B64" s="32">
        <v>2.42</v>
      </c>
      <c r="C64" s="2" t="s">
        <v>297</v>
      </c>
      <c r="D64" s="2" t="s">
        <v>362</v>
      </c>
    </row>
    <row r="65" spans="1:4" x14ac:dyDescent="0.3">
      <c r="A65" s="6" t="s">
        <v>363</v>
      </c>
      <c r="B65" s="32">
        <v>0.73</v>
      </c>
      <c r="C65" s="2" t="s">
        <v>297</v>
      </c>
      <c r="D65" s="2" t="s">
        <v>364</v>
      </c>
    </row>
    <row r="66" spans="1:4" x14ac:dyDescent="0.3">
      <c r="A66" s="6" t="s">
        <v>365</v>
      </c>
      <c r="B66" s="32">
        <v>0.08</v>
      </c>
      <c r="C66" s="2" t="s">
        <v>366</v>
      </c>
      <c r="D66" s="2" t="s">
        <v>295</v>
      </c>
    </row>
    <row r="67" spans="1:4" x14ac:dyDescent="0.3">
      <c r="A67" s="6" t="s">
        <v>20</v>
      </c>
      <c r="B67" s="32">
        <v>0.95</v>
      </c>
      <c r="C67" s="2" t="s">
        <v>299</v>
      </c>
      <c r="D67" s="2" t="s">
        <v>295</v>
      </c>
    </row>
    <row r="68" spans="1:4" x14ac:dyDescent="0.3">
      <c r="A68" s="6" t="s">
        <v>22</v>
      </c>
      <c r="B68" s="32">
        <v>0.6</v>
      </c>
      <c r="C68" s="2" t="s">
        <v>366</v>
      </c>
      <c r="D68" s="2" t="s">
        <v>295</v>
      </c>
    </row>
    <row r="69" spans="1:4" x14ac:dyDescent="0.3">
      <c r="A69" s="6" t="s">
        <v>358</v>
      </c>
      <c r="B69" s="32">
        <v>28</v>
      </c>
      <c r="C69" s="2" t="s">
        <v>366</v>
      </c>
      <c r="D69" s="2" t="s">
        <v>295</v>
      </c>
    </row>
    <row r="70" spans="1:4" x14ac:dyDescent="0.3">
      <c r="A70" s="6" t="s">
        <v>367</v>
      </c>
      <c r="B70" s="32">
        <v>0.12</v>
      </c>
      <c r="C70" s="2" t="s">
        <v>299</v>
      </c>
      <c r="D70" s="2" t="s">
        <v>295</v>
      </c>
    </row>
    <row r="71" spans="1:4" x14ac:dyDescent="0.3">
      <c r="A71" s="6" t="s">
        <v>368</v>
      </c>
      <c r="B71" s="32">
        <v>1.8</v>
      </c>
      <c r="C71" s="2" t="s">
        <v>297</v>
      </c>
      <c r="D71" s="2" t="s">
        <v>295</v>
      </c>
    </row>
    <row r="72" spans="1:4" x14ac:dyDescent="0.3">
      <c r="A72" s="6" t="s">
        <v>369</v>
      </c>
      <c r="B72" s="32">
        <v>1500</v>
      </c>
      <c r="C72" s="2" t="s">
        <v>370</v>
      </c>
      <c r="D72" s="2" t="s">
        <v>371</v>
      </c>
    </row>
    <row r="73" spans="1:4" x14ac:dyDescent="0.3">
      <c r="A73" s="6" t="s">
        <v>372</v>
      </c>
      <c r="B73" s="30">
        <v>0.12</v>
      </c>
      <c r="C73" s="2" t="s">
        <v>132</v>
      </c>
      <c r="D73" s="2" t="s">
        <v>373</v>
      </c>
    </row>
    <row r="74" spans="1:4" x14ac:dyDescent="0.3">
      <c r="A74" s="6" t="s">
        <v>374</v>
      </c>
      <c r="B74" s="30">
        <v>0.03</v>
      </c>
      <c r="C74" s="2" t="s">
        <v>132</v>
      </c>
      <c r="D74" s="2" t="s">
        <v>373</v>
      </c>
    </row>
    <row r="75" spans="1:4" x14ac:dyDescent="0.3">
      <c r="A75" s="6" t="s">
        <v>375</v>
      </c>
      <c r="B75" s="30">
        <v>1.5</v>
      </c>
      <c r="C75" s="2" t="s">
        <v>136</v>
      </c>
      <c r="D75" s="2" t="s">
        <v>373</v>
      </c>
    </row>
    <row r="76" spans="1:4" x14ac:dyDescent="0.3">
      <c r="A76" s="6" t="s">
        <v>376</v>
      </c>
      <c r="B76" s="30">
        <v>32</v>
      </c>
      <c r="C76" s="2" t="s">
        <v>129</v>
      </c>
      <c r="D76" s="2" t="s">
        <v>373</v>
      </c>
    </row>
    <row r="77" spans="1:4" x14ac:dyDescent="0.3">
      <c r="A77" s="6" t="s">
        <v>16</v>
      </c>
      <c r="B77" s="39">
        <f>INT(($B$6-$B$60)/$B$59)+2</f>
        <v>20</v>
      </c>
      <c r="C77" s="2" t="s">
        <v>76</v>
      </c>
      <c r="D77" s="2" t="s">
        <v>377</v>
      </c>
    </row>
    <row r="78" spans="1:4" x14ac:dyDescent="0.3">
      <c r="A78" s="6" t="s">
        <v>378</v>
      </c>
      <c r="B78" s="40">
        <f>$B$7/12</f>
        <v>21</v>
      </c>
      <c r="C78" s="2" t="s">
        <v>119</v>
      </c>
      <c r="D78" s="2" t="s">
        <v>379</v>
      </c>
    </row>
    <row r="79" spans="1:4" x14ac:dyDescent="0.3">
      <c r="A79" s="6" t="s">
        <v>152</v>
      </c>
      <c r="B79" s="39">
        <f>INT(($B$7-24)/$B$61)+1+IF(MOD($B$7-24,$B$61)&gt;0,1,0)</f>
        <v>6</v>
      </c>
      <c r="C79" s="2" t="s">
        <v>76</v>
      </c>
      <c r="D79" s="2"/>
    </row>
    <row r="80" spans="1:4" x14ac:dyDescent="0.3">
      <c r="A80" s="6" t="s">
        <v>380</v>
      </c>
      <c r="B80" s="38">
        <f>$B$8*$B$58/12/27*(1+Estimate!$B$42)</f>
        <v>11.585648148148149</v>
      </c>
      <c r="C80" s="2" t="s">
        <v>155</v>
      </c>
      <c r="D80" s="2" t="s">
        <v>381</v>
      </c>
    </row>
    <row r="81" spans="1:7" x14ac:dyDescent="0.3">
      <c r="A81" s="6" t="s">
        <v>382</v>
      </c>
      <c r="B81" s="41">
        <f>($B$58/12*Estimate!$B$33+4)*$B$8</f>
        <v>12053.125</v>
      </c>
      <c r="C81" s="2" t="s">
        <v>101</v>
      </c>
      <c r="D81" s="2" t="s">
        <v>383</v>
      </c>
    </row>
    <row r="83" spans="1:7" x14ac:dyDescent="0.3">
      <c r="A83" s="44" t="s">
        <v>186</v>
      </c>
      <c r="B83" s="44" t="s">
        <v>187</v>
      </c>
      <c r="C83" s="44" t="s">
        <v>188</v>
      </c>
      <c r="D83" s="44" t="s">
        <v>321</v>
      </c>
      <c r="E83" s="44" t="s">
        <v>190</v>
      </c>
      <c r="F83" s="44" t="s">
        <v>191</v>
      </c>
      <c r="G83" s="44" t="s">
        <v>322</v>
      </c>
    </row>
    <row r="84" spans="1:7" x14ac:dyDescent="0.3">
      <c r="A84" s="45" t="s">
        <v>346</v>
      </c>
      <c r="B84" s="46">
        <f>$B$51</f>
        <v>117</v>
      </c>
      <c r="C84" s="47" t="s">
        <v>195</v>
      </c>
      <c r="D84" s="47" t="s">
        <v>384</v>
      </c>
      <c r="E84" s="53">
        <f>$B$49</f>
        <v>8</v>
      </c>
      <c r="F84" s="48">
        <f t="shared" ref="F84:F103" si="1">B84*E84</f>
        <v>936</v>
      </c>
      <c r="G84" s="47"/>
    </row>
    <row r="85" spans="1:7" x14ac:dyDescent="0.3">
      <c r="A85" s="45" t="s">
        <v>385</v>
      </c>
      <c r="B85" s="46">
        <f>$B$52</f>
        <v>4.2370370370370374</v>
      </c>
      <c r="C85" s="47" t="s">
        <v>155</v>
      </c>
      <c r="D85" s="47" t="s">
        <v>386</v>
      </c>
      <c r="E85" s="53">
        <f>$B$11</f>
        <v>160</v>
      </c>
      <c r="F85" s="48">
        <f t="shared" si="1"/>
        <v>677.92592592592598</v>
      </c>
      <c r="G85" s="47"/>
    </row>
    <row r="86" spans="1:7" x14ac:dyDescent="0.3">
      <c r="A86" s="45" t="s">
        <v>387</v>
      </c>
      <c r="B86" s="46">
        <f>$B$51*$B$48*1.1</f>
        <v>257.40000000000003</v>
      </c>
      <c r="C86" s="47" t="s">
        <v>195</v>
      </c>
      <c r="D86" s="47" t="s">
        <v>330</v>
      </c>
      <c r="E86" s="53">
        <f>$B$13</f>
        <v>0.9</v>
      </c>
      <c r="F86" s="48">
        <f t="shared" si="1"/>
        <v>231.66000000000003</v>
      </c>
      <c r="G86" s="47"/>
    </row>
    <row r="87" spans="1:7" x14ac:dyDescent="0.3">
      <c r="A87" s="45" t="s">
        <v>388</v>
      </c>
      <c r="B87" s="46">
        <f>$B$51*2</f>
        <v>234</v>
      </c>
      <c r="C87" s="47" t="s">
        <v>195</v>
      </c>
      <c r="D87" s="47" t="s">
        <v>389</v>
      </c>
      <c r="E87" s="53">
        <f>$B$16</f>
        <v>2</v>
      </c>
      <c r="F87" s="48">
        <f t="shared" si="1"/>
        <v>468</v>
      </c>
      <c r="G87" s="47"/>
    </row>
    <row r="88" spans="1:7" x14ac:dyDescent="0.3">
      <c r="A88" s="45" t="s">
        <v>390</v>
      </c>
      <c r="B88" s="46">
        <f>$B$51*$B$50</f>
        <v>58.5</v>
      </c>
      <c r="C88" s="47" t="s">
        <v>129</v>
      </c>
      <c r="D88" s="47" t="s">
        <v>334</v>
      </c>
      <c r="E88" s="53">
        <f>$B$10</f>
        <v>35</v>
      </c>
      <c r="F88" s="48">
        <f t="shared" si="1"/>
        <v>2047.5</v>
      </c>
      <c r="G88" s="47"/>
    </row>
    <row r="89" spans="1:7" x14ac:dyDescent="0.3">
      <c r="A89" s="45" t="s">
        <v>391</v>
      </c>
      <c r="B89" s="46">
        <f>$B$80</f>
        <v>11.585648148148149</v>
      </c>
      <c r="C89" s="47" t="s">
        <v>155</v>
      </c>
      <c r="D89" s="47" t="s">
        <v>392</v>
      </c>
      <c r="E89" s="53">
        <f>Estimate!$B$35+Estimate!$B$36</f>
        <v>220</v>
      </c>
      <c r="F89" s="48">
        <f t="shared" si="1"/>
        <v>2548.8425925925926</v>
      </c>
      <c r="G89" s="47"/>
    </row>
    <row r="90" spans="1:7" x14ac:dyDescent="0.3">
      <c r="A90" s="45" t="s">
        <v>194</v>
      </c>
      <c r="B90" s="46">
        <f>$B$77*$B$78</f>
        <v>420</v>
      </c>
      <c r="C90" s="47" t="s">
        <v>195</v>
      </c>
      <c r="D90" s="47" t="s">
        <v>393</v>
      </c>
      <c r="E90" s="53">
        <f>$B$63</f>
        <v>2.42</v>
      </c>
      <c r="F90" s="48">
        <f t="shared" si="1"/>
        <v>1016.4</v>
      </c>
      <c r="G90" s="47"/>
    </row>
    <row r="91" spans="1:7" x14ac:dyDescent="0.3">
      <c r="A91" s="45" t="s">
        <v>361</v>
      </c>
      <c r="B91" s="46">
        <f>2*$B$6/12</f>
        <v>50</v>
      </c>
      <c r="C91" s="47" t="s">
        <v>195</v>
      </c>
      <c r="D91" s="47" t="s">
        <v>394</v>
      </c>
      <c r="E91" s="53">
        <f>$B$64</f>
        <v>2.42</v>
      </c>
      <c r="F91" s="48">
        <f t="shared" si="1"/>
        <v>121</v>
      </c>
      <c r="G91" s="47"/>
    </row>
    <row r="92" spans="1:7" x14ac:dyDescent="0.3">
      <c r="A92" s="45" t="s">
        <v>395</v>
      </c>
      <c r="B92" s="46">
        <f>$B$79*$B$6/12</f>
        <v>150</v>
      </c>
      <c r="C92" s="47" t="s">
        <v>195</v>
      </c>
      <c r="D92" s="47" t="s">
        <v>396</v>
      </c>
      <c r="E92" s="53">
        <f>$B$65</f>
        <v>0.73</v>
      </c>
      <c r="F92" s="48">
        <f t="shared" si="1"/>
        <v>109.5</v>
      </c>
      <c r="G92" s="47"/>
    </row>
    <row r="93" spans="1:7" x14ac:dyDescent="0.3">
      <c r="A93" s="45" t="s">
        <v>207</v>
      </c>
      <c r="B93" s="49">
        <f>$B$79*$B$77*2</f>
        <v>240</v>
      </c>
      <c r="C93" s="47" t="s">
        <v>76</v>
      </c>
      <c r="D93" s="47" t="s">
        <v>397</v>
      </c>
      <c r="E93" s="53">
        <f>$B$66</f>
        <v>0.08</v>
      </c>
      <c r="F93" s="48">
        <f t="shared" si="1"/>
        <v>19.2</v>
      </c>
      <c r="G93" s="47"/>
    </row>
    <row r="94" spans="1:7" x14ac:dyDescent="0.3">
      <c r="A94" s="45" t="s">
        <v>20</v>
      </c>
      <c r="B94" s="46">
        <f>$B$8*(1+Estimate!$B$43)</f>
        <v>577.5</v>
      </c>
      <c r="C94" s="47" t="s">
        <v>143</v>
      </c>
      <c r="D94" s="47" t="s">
        <v>398</v>
      </c>
      <c r="E94" s="53">
        <f>$B$67</f>
        <v>0.95</v>
      </c>
      <c r="F94" s="48">
        <f t="shared" si="1"/>
        <v>548.625</v>
      </c>
      <c r="G94" s="47"/>
    </row>
    <row r="95" spans="1:7" x14ac:dyDescent="0.3">
      <c r="A95" s="45" t="s">
        <v>22</v>
      </c>
      <c r="B95" s="49">
        <f>$B$79*$B$77</f>
        <v>120</v>
      </c>
      <c r="C95" s="47" t="s">
        <v>76</v>
      </c>
      <c r="D95" s="47" t="s">
        <v>399</v>
      </c>
      <c r="E95" s="53">
        <f>$B$68</f>
        <v>0.6</v>
      </c>
      <c r="F95" s="48">
        <f t="shared" si="1"/>
        <v>72</v>
      </c>
      <c r="G95" s="47"/>
    </row>
    <row r="96" spans="1:7" x14ac:dyDescent="0.3">
      <c r="A96" s="45" t="s">
        <v>358</v>
      </c>
      <c r="B96" s="49">
        <f>$B$62</f>
        <v>8</v>
      </c>
      <c r="C96" s="47" t="s">
        <v>76</v>
      </c>
      <c r="D96" s="47" t="s">
        <v>400</v>
      </c>
      <c r="E96" s="53">
        <f>$B$69</f>
        <v>28</v>
      </c>
      <c r="F96" s="48">
        <f t="shared" si="1"/>
        <v>224</v>
      </c>
      <c r="G96" s="47"/>
    </row>
    <row r="97" spans="1:7" x14ac:dyDescent="0.3">
      <c r="A97" s="45" t="s">
        <v>401</v>
      </c>
      <c r="B97" s="46">
        <f>$B$8*1.1</f>
        <v>577.5</v>
      </c>
      <c r="C97" s="47" t="s">
        <v>143</v>
      </c>
      <c r="D97" s="47" t="s">
        <v>402</v>
      </c>
      <c r="E97" s="53">
        <f>$B$70</f>
        <v>0.12</v>
      </c>
      <c r="F97" s="48">
        <f t="shared" si="1"/>
        <v>69.3</v>
      </c>
      <c r="G97" s="47"/>
    </row>
    <row r="98" spans="1:7" x14ac:dyDescent="0.3">
      <c r="A98" s="45" t="s">
        <v>403</v>
      </c>
      <c r="B98" s="46">
        <f>$B$9</f>
        <v>92</v>
      </c>
      <c r="C98" s="47" t="s">
        <v>195</v>
      </c>
      <c r="D98" s="47" t="s">
        <v>404</v>
      </c>
      <c r="E98" s="53">
        <f>$B$71</f>
        <v>1.8</v>
      </c>
      <c r="F98" s="48">
        <f t="shared" si="1"/>
        <v>165.6</v>
      </c>
      <c r="G98" s="47"/>
    </row>
    <row r="99" spans="1:7" x14ac:dyDescent="0.3">
      <c r="A99" s="45" t="s">
        <v>405</v>
      </c>
      <c r="B99" s="49">
        <v>1</v>
      </c>
      <c r="C99" s="47" t="s">
        <v>406</v>
      </c>
      <c r="D99" s="47" t="s">
        <v>407</v>
      </c>
      <c r="E99" s="53">
        <f>$B$72</f>
        <v>1500</v>
      </c>
      <c r="F99" s="48">
        <f t="shared" si="1"/>
        <v>1500</v>
      </c>
      <c r="G99" s="47"/>
    </row>
    <row r="100" spans="1:7" x14ac:dyDescent="0.3">
      <c r="A100" s="45" t="s">
        <v>372</v>
      </c>
      <c r="B100" s="46">
        <f>$B$8*$B$73</f>
        <v>63</v>
      </c>
      <c r="C100" s="47" t="s">
        <v>129</v>
      </c>
      <c r="D100" s="47" t="s">
        <v>334</v>
      </c>
      <c r="E100" s="53">
        <f>$B$10</f>
        <v>35</v>
      </c>
      <c r="F100" s="48">
        <f t="shared" si="1"/>
        <v>2205</v>
      </c>
      <c r="G100" s="47"/>
    </row>
    <row r="101" spans="1:7" x14ac:dyDescent="0.3">
      <c r="A101" s="45" t="s">
        <v>374</v>
      </c>
      <c r="B101" s="46">
        <f>$B$8*$B$74</f>
        <v>15.75</v>
      </c>
      <c r="C101" s="47" t="s">
        <v>129</v>
      </c>
      <c r="D101" s="47" t="s">
        <v>334</v>
      </c>
      <c r="E101" s="53">
        <f>$B$10</f>
        <v>35</v>
      </c>
      <c r="F101" s="48">
        <f t="shared" si="1"/>
        <v>551.25</v>
      </c>
      <c r="G101" s="47"/>
    </row>
    <row r="102" spans="1:7" x14ac:dyDescent="0.3">
      <c r="A102" s="45" t="s">
        <v>375</v>
      </c>
      <c r="B102" s="46">
        <f>$B$80*$B$75</f>
        <v>17.378472222222221</v>
      </c>
      <c r="C102" s="47" t="s">
        <v>129</v>
      </c>
      <c r="D102" s="47" t="s">
        <v>334</v>
      </c>
      <c r="E102" s="53">
        <f>$B$10</f>
        <v>35</v>
      </c>
      <c r="F102" s="48">
        <f t="shared" si="1"/>
        <v>608.24652777777771</v>
      </c>
      <c r="G102" s="47"/>
    </row>
    <row r="103" spans="1:7" x14ac:dyDescent="0.3">
      <c r="A103" s="45" t="s">
        <v>408</v>
      </c>
      <c r="B103" s="46">
        <f>$B$76</f>
        <v>32</v>
      </c>
      <c r="C103" s="47" t="s">
        <v>129</v>
      </c>
      <c r="D103" s="47" t="s">
        <v>334</v>
      </c>
      <c r="E103" s="53">
        <f>$B$10</f>
        <v>35</v>
      </c>
      <c r="F103" s="48">
        <f t="shared" si="1"/>
        <v>1120</v>
      </c>
      <c r="G103" s="47"/>
    </row>
    <row r="104" spans="1:7" x14ac:dyDescent="0.3">
      <c r="A104" s="50" t="s">
        <v>409</v>
      </c>
      <c r="B104" s="51"/>
      <c r="C104" s="51"/>
      <c r="D104" s="51"/>
      <c r="E104" s="51"/>
      <c r="F104" s="52">
        <f>SUM(F84:F103)</f>
        <v>15240.050046296294</v>
      </c>
      <c r="G104" s="51"/>
    </row>
    <row r="106" spans="1:7" x14ac:dyDescent="0.3">
      <c r="A106" s="4" t="s">
        <v>410</v>
      </c>
      <c r="B106" s="5"/>
      <c r="C106" s="5"/>
      <c r="D106" s="5"/>
      <c r="E106" s="5"/>
      <c r="F106" s="5"/>
      <c r="G106" s="5"/>
    </row>
    <row r="107" spans="1:7" x14ac:dyDescent="0.3">
      <c r="A107" s="22" t="s">
        <v>411</v>
      </c>
      <c r="B107" s="27">
        <f>$F$42*(1+$B$17)</f>
        <v>5392.8231296296308</v>
      </c>
    </row>
    <row r="108" spans="1:7" x14ac:dyDescent="0.3">
      <c r="A108" s="22" t="s">
        <v>412</v>
      </c>
      <c r="B108" s="27">
        <f>$F$104*(1+$B$17)</f>
        <v>16764.055050925923</v>
      </c>
    </row>
    <row r="109" spans="1:7" x14ac:dyDescent="0.3">
      <c r="A109" s="6" t="s">
        <v>413</v>
      </c>
      <c r="B109" s="63">
        <f>$B$108-$B$107</f>
        <v>11371.231921296292</v>
      </c>
    </row>
    <row r="110" spans="1:7" x14ac:dyDescent="0.3">
      <c r="A110" s="6" t="s">
        <v>414</v>
      </c>
      <c r="B110" s="53">
        <f>$B$107/$B$8</f>
        <v>10.272044056437393</v>
      </c>
    </row>
    <row r="111" spans="1:7" x14ac:dyDescent="0.3">
      <c r="A111" s="6" t="s">
        <v>415</v>
      </c>
      <c r="B111" s="53">
        <f>$B$108/$B$8</f>
        <v>31.93153343033509</v>
      </c>
    </row>
    <row r="112" spans="1:7" x14ac:dyDescent="0.3">
      <c r="A112" s="6" t="s">
        <v>416</v>
      </c>
      <c r="B112" s="64">
        <f>$B$81</f>
        <v>12053.125</v>
      </c>
    </row>
    <row r="114" spans="1:7" ht="30" customHeight="1" x14ac:dyDescent="0.3">
      <c r="A114" s="67" t="s">
        <v>417</v>
      </c>
      <c r="B114" s="68"/>
      <c r="C114" s="68"/>
      <c r="D114" s="68"/>
      <c r="E114" s="68"/>
      <c r="F114" s="68"/>
      <c r="G114" s="68"/>
    </row>
    <row r="115" spans="1:7" ht="30" customHeight="1" x14ac:dyDescent="0.3">
      <c r="A115" s="67" t="s">
        <v>418</v>
      </c>
      <c r="B115" s="68"/>
      <c r="C115" s="68"/>
      <c r="D115" s="68"/>
      <c r="E115" s="68"/>
      <c r="F115" s="68"/>
      <c r="G115" s="68"/>
    </row>
    <row r="116" spans="1:7" ht="30" customHeight="1" x14ac:dyDescent="0.3">
      <c r="A116" s="67" t="s">
        <v>419</v>
      </c>
      <c r="B116" s="68"/>
      <c r="C116" s="68"/>
      <c r="D116" s="68"/>
      <c r="E116" s="68"/>
      <c r="F116" s="68"/>
      <c r="G116" s="68"/>
    </row>
  </sheetData>
  <mergeCells count="4">
    <mergeCell ref="A116:G116"/>
    <mergeCell ref="A2:G2"/>
    <mergeCell ref="A114:G114"/>
    <mergeCell ref="A115:G115"/>
  </mergeCells>
  <hyperlinks>
    <hyperlink ref="A3" location="'Summary'!A1" display="← Summary" xr:uid="{00000000-0004-0000-0200-000000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"/>
  <sheetViews>
    <sheetView workbookViewId="0"/>
  </sheetViews>
  <sheetFormatPr defaultRowHeight="14.4" x14ac:dyDescent="0.3"/>
  <cols>
    <col min="1" max="1" width="40" customWidth="1"/>
    <col min="2" max="2" width="16" customWidth="1"/>
    <col min="3" max="3" width="12" customWidth="1"/>
    <col min="4" max="4" width="60" customWidth="1"/>
  </cols>
  <sheetData>
    <row r="1" spans="1:4" ht="17.399999999999999" x14ac:dyDescent="0.3">
      <c r="A1" s="21" t="s">
        <v>420</v>
      </c>
    </row>
    <row r="2" spans="1:4" x14ac:dyDescent="0.3">
      <c r="A2" s="2" t="s">
        <v>421</v>
      </c>
    </row>
    <row r="4" spans="1:4" x14ac:dyDescent="0.3">
      <c r="A4" s="44" t="s">
        <v>186</v>
      </c>
      <c r="B4" s="44" t="s">
        <v>422</v>
      </c>
      <c r="C4" s="44" t="s">
        <v>188</v>
      </c>
      <c r="D4" s="44" t="s">
        <v>423</v>
      </c>
    </row>
    <row r="5" spans="1:4" x14ac:dyDescent="0.3">
      <c r="A5" s="6" t="s">
        <v>54</v>
      </c>
      <c r="B5" s="6">
        <v>300</v>
      </c>
      <c r="C5" s="2" t="s">
        <v>55</v>
      </c>
      <c r="D5" s="2"/>
    </row>
    <row r="6" spans="1:4" x14ac:dyDescent="0.3">
      <c r="A6" s="6" t="s">
        <v>424</v>
      </c>
      <c r="B6" s="6">
        <v>252</v>
      </c>
      <c r="C6" s="2" t="s">
        <v>55</v>
      </c>
      <c r="D6" s="2"/>
    </row>
    <row r="7" spans="1:4" x14ac:dyDescent="0.3">
      <c r="A7" s="6" t="s">
        <v>142</v>
      </c>
      <c r="B7" s="6">
        <v>525</v>
      </c>
      <c r="C7" s="2" t="s">
        <v>143</v>
      </c>
      <c r="D7" s="2"/>
    </row>
    <row r="8" spans="1:4" x14ac:dyDescent="0.3">
      <c r="A8" s="6" t="s">
        <v>425</v>
      </c>
      <c r="B8" s="6">
        <v>11.5</v>
      </c>
      <c r="C8" s="2" t="s">
        <v>55</v>
      </c>
      <c r="D8" s="2" t="s">
        <v>426</v>
      </c>
    </row>
    <row r="9" spans="1:4" x14ac:dyDescent="0.3">
      <c r="A9" s="6" t="s">
        <v>274</v>
      </c>
      <c r="B9" s="6">
        <v>10.53</v>
      </c>
      <c r="C9" s="2" t="s">
        <v>155</v>
      </c>
      <c r="D9" s="2" t="s">
        <v>427</v>
      </c>
    </row>
    <row r="10" spans="1:4" x14ac:dyDescent="0.3">
      <c r="A10" s="6" t="s">
        <v>428</v>
      </c>
      <c r="B10" s="6">
        <v>9.17</v>
      </c>
      <c r="C10" s="2" t="s">
        <v>155</v>
      </c>
      <c r="D10" s="2" t="s">
        <v>429</v>
      </c>
    </row>
    <row r="11" spans="1:4" x14ac:dyDescent="0.3">
      <c r="A11" s="6" t="s">
        <v>430</v>
      </c>
      <c r="B11" s="6">
        <v>19.7</v>
      </c>
      <c r="C11" s="2" t="s">
        <v>155</v>
      </c>
      <c r="D11" s="2" t="s">
        <v>431</v>
      </c>
    </row>
    <row r="12" spans="1:4" x14ac:dyDescent="0.3">
      <c r="A12" s="6" t="s">
        <v>16</v>
      </c>
      <c r="B12" s="6">
        <v>20</v>
      </c>
      <c r="C12" s="2" t="s">
        <v>76</v>
      </c>
      <c r="D12" s="2" t="s">
        <v>432</v>
      </c>
    </row>
    <row r="13" spans="1:4" x14ac:dyDescent="0.3">
      <c r="A13" s="6" t="s">
        <v>18</v>
      </c>
      <c r="B13" s="6">
        <v>21</v>
      </c>
      <c r="C13" s="2" t="s">
        <v>119</v>
      </c>
      <c r="D13" s="2" t="s">
        <v>433</v>
      </c>
    </row>
    <row r="14" spans="1:4" x14ac:dyDescent="0.3">
      <c r="A14" s="6" t="s">
        <v>434</v>
      </c>
      <c r="B14" s="6">
        <v>420</v>
      </c>
      <c r="C14" s="2" t="s">
        <v>195</v>
      </c>
      <c r="D14" s="2"/>
    </row>
    <row r="15" spans="1:4" x14ac:dyDescent="0.3">
      <c r="A15" s="6" t="s">
        <v>435</v>
      </c>
      <c r="B15" s="6">
        <v>50</v>
      </c>
      <c r="C15" s="2" t="s">
        <v>195</v>
      </c>
      <c r="D15" s="2" t="s">
        <v>436</v>
      </c>
    </row>
    <row r="16" spans="1:4" x14ac:dyDescent="0.3">
      <c r="A16" s="6" t="s">
        <v>152</v>
      </c>
      <c r="B16" s="6">
        <v>6</v>
      </c>
      <c r="C16" s="2" t="s">
        <v>76</v>
      </c>
      <c r="D16" s="2" t="s">
        <v>437</v>
      </c>
    </row>
    <row r="17" spans="1:4" x14ac:dyDescent="0.3">
      <c r="A17" s="6" t="s">
        <v>438</v>
      </c>
      <c r="B17" s="6">
        <v>150</v>
      </c>
      <c r="C17" s="2" t="s">
        <v>195</v>
      </c>
      <c r="D17" s="2"/>
    </row>
    <row r="18" spans="1:4" x14ac:dyDescent="0.3">
      <c r="A18" s="6" t="s">
        <v>439</v>
      </c>
      <c r="B18" s="6">
        <v>92</v>
      </c>
      <c r="C18" s="2" t="s">
        <v>195</v>
      </c>
      <c r="D18" s="2"/>
    </row>
    <row r="19" spans="1:4" x14ac:dyDescent="0.3">
      <c r="A19" s="6" t="s">
        <v>207</v>
      </c>
      <c r="B19" s="6">
        <v>240</v>
      </c>
      <c r="C19" s="2" t="s">
        <v>76</v>
      </c>
      <c r="D19" s="2"/>
    </row>
    <row r="20" spans="1:4" x14ac:dyDescent="0.3">
      <c r="A20" s="6" t="s">
        <v>22</v>
      </c>
      <c r="B20" s="6">
        <v>120</v>
      </c>
      <c r="C20" s="2" t="s">
        <v>76</v>
      </c>
      <c r="D20" s="2" t="s">
        <v>440</v>
      </c>
    </row>
    <row r="21" spans="1:4" x14ac:dyDescent="0.3">
      <c r="A21" s="6" t="s">
        <v>358</v>
      </c>
      <c r="B21" s="6">
        <v>8</v>
      </c>
      <c r="C21" s="2" t="s">
        <v>76</v>
      </c>
      <c r="D21" s="2" t="s">
        <v>441</v>
      </c>
    </row>
    <row r="22" spans="1:4" x14ac:dyDescent="0.3">
      <c r="A22" s="6" t="s">
        <v>213</v>
      </c>
      <c r="B22" s="6">
        <v>40</v>
      </c>
      <c r="C22" s="2" t="s">
        <v>76</v>
      </c>
      <c r="D22" s="2" t="s">
        <v>442</v>
      </c>
    </row>
    <row r="23" spans="1:4" x14ac:dyDescent="0.3">
      <c r="A23" s="6" t="s">
        <v>443</v>
      </c>
      <c r="B23" s="6">
        <v>12</v>
      </c>
      <c r="C23" s="2" t="s">
        <v>76</v>
      </c>
      <c r="D23" s="2" t="s">
        <v>444</v>
      </c>
    </row>
    <row r="24" spans="1:4" x14ac:dyDescent="0.3">
      <c r="A24" s="6" t="s">
        <v>445</v>
      </c>
      <c r="B24" s="6">
        <v>2</v>
      </c>
      <c r="C24" s="2" t="s">
        <v>76</v>
      </c>
      <c r="D24" s="2" t="s">
        <v>82</v>
      </c>
    </row>
    <row r="25" spans="1:4" x14ac:dyDescent="0.3">
      <c r="A25" s="6" t="s">
        <v>446</v>
      </c>
      <c r="B25" s="6">
        <v>525</v>
      </c>
      <c r="C25" s="2" t="s">
        <v>143</v>
      </c>
      <c r="D25" s="2" t="s">
        <v>447</v>
      </c>
    </row>
    <row r="26" spans="1:4" x14ac:dyDescent="0.3">
      <c r="A26" s="6" t="s">
        <v>448</v>
      </c>
      <c r="B26" s="6">
        <v>525</v>
      </c>
      <c r="C26" s="2" t="s">
        <v>143</v>
      </c>
      <c r="D26" s="2"/>
    </row>
    <row r="27" spans="1:4" x14ac:dyDescent="0.3">
      <c r="A27" s="6" t="s">
        <v>449</v>
      </c>
      <c r="B27" s="6">
        <v>92</v>
      </c>
      <c r="C27" s="2" t="s">
        <v>195</v>
      </c>
      <c r="D27" s="2" t="s">
        <v>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0"/>
  <sheetViews>
    <sheetView workbookViewId="0"/>
  </sheetViews>
  <sheetFormatPr defaultRowHeight="14.4" x14ac:dyDescent="0.3"/>
  <cols>
    <col min="1" max="1" width="120" customWidth="1"/>
  </cols>
  <sheetData>
    <row r="1" spans="1:1" x14ac:dyDescent="0.3">
      <c r="A1" s="65" t="s">
        <v>451</v>
      </c>
    </row>
    <row r="2" spans="1:1" x14ac:dyDescent="0.3">
      <c r="A2" s="66" t="s">
        <v>452</v>
      </c>
    </row>
    <row r="3" spans="1:1" ht="26.4" x14ac:dyDescent="0.3">
      <c r="A3" s="66" t="s">
        <v>453</v>
      </c>
    </row>
    <row r="4" spans="1:1" ht="39.6" x14ac:dyDescent="0.3">
      <c r="A4" s="66" t="s">
        <v>454</v>
      </c>
    </row>
    <row r="5" spans="1:1" x14ac:dyDescent="0.3">
      <c r="A5" s="66" t="s">
        <v>455</v>
      </c>
    </row>
    <row r="6" spans="1:1" x14ac:dyDescent="0.3">
      <c r="A6" s="66"/>
    </row>
    <row r="7" spans="1:1" x14ac:dyDescent="0.3">
      <c r="A7" s="65" t="s">
        <v>456</v>
      </c>
    </row>
    <row r="8" spans="1:1" ht="39.6" x14ac:dyDescent="0.3">
      <c r="A8" s="66" t="s">
        <v>457</v>
      </c>
    </row>
    <row r="9" spans="1:1" x14ac:dyDescent="0.3">
      <c r="A9" s="66" t="s">
        <v>458</v>
      </c>
    </row>
    <row r="10" spans="1:1" x14ac:dyDescent="0.3">
      <c r="A10" s="66"/>
    </row>
    <row r="11" spans="1:1" x14ac:dyDescent="0.3">
      <c r="A11" s="65" t="s">
        <v>459</v>
      </c>
    </row>
    <row r="12" spans="1:1" ht="39.6" x14ac:dyDescent="0.3">
      <c r="A12" s="66" t="s">
        <v>460</v>
      </c>
    </row>
    <row r="13" spans="1:1" ht="39.6" x14ac:dyDescent="0.3">
      <c r="A13" s="66" t="s">
        <v>461</v>
      </c>
    </row>
    <row r="14" spans="1:1" ht="26.4" x14ac:dyDescent="0.3">
      <c r="A14" s="66" t="s">
        <v>462</v>
      </c>
    </row>
    <row r="15" spans="1:1" x14ac:dyDescent="0.3">
      <c r="A15" s="66"/>
    </row>
    <row r="16" spans="1:1" x14ac:dyDescent="0.3">
      <c r="A16" s="65" t="s">
        <v>463</v>
      </c>
    </row>
    <row r="17" spans="1:1" x14ac:dyDescent="0.3">
      <c r="A17" s="66" t="s">
        <v>464</v>
      </c>
    </row>
    <row r="18" spans="1:1" ht="26.4" x14ac:dyDescent="0.3">
      <c r="A18" s="66" t="s">
        <v>465</v>
      </c>
    </row>
    <row r="19" spans="1:1" x14ac:dyDescent="0.3">
      <c r="A19" s="66"/>
    </row>
    <row r="20" spans="1:1" ht="26.4" x14ac:dyDescent="0.3">
      <c r="A20" s="65" t="s">
        <v>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Estimate</vt:lpstr>
      <vt:lpstr>Floor options</vt:lpstr>
      <vt:lpstr>Model takeoff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MG LLC</cp:lastModifiedBy>
  <dcterms:created xsi:type="dcterms:W3CDTF">2026-09-06T21:16:16Z</dcterms:created>
  <dcterms:modified xsi:type="dcterms:W3CDTF">2026-09-06T21:17:54Z</dcterms:modified>
</cp:coreProperties>
</file>