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815BAC99-13E3-4FD2-8C23-21A5B2E14A83}"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panel" sheetId="4" r:id="rId4"/>
    <sheet name="Skid" sheetId="5" r:id="rId5"/>
    <sheet name="Manufacturing" sheetId="6" r:id="rId6"/>
    <sheet name="Fixtures and finishes" sheetId="7" r:id="rId7"/>
    <sheet name="Model takeoff"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7" l="1"/>
  <c r="F126" i="7" s="1"/>
  <c r="B125" i="7"/>
  <c r="B124" i="7"/>
  <c r="B119" i="7"/>
  <c r="F119" i="7" s="1"/>
  <c r="B117" i="7"/>
  <c r="B116" i="7"/>
  <c r="B115" i="7"/>
  <c r="H115" i="7" s="1"/>
  <c r="B113" i="7"/>
  <c r="B69" i="7"/>
  <c r="F69" i="7" s="1"/>
  <c r="B67" i="7"/>
  <c r="B61" i="7"/>
  <c r="B60" i="7"/>
  <c r="B59" i="7"/>
  <c r="F59" i="7" s="1"/>
  <c r="B50" i="7"/>
  <c r="B13" i="7"/>
  <c r="B40" i="7" s="1"/>
  <c r="B12" i="7"/>
  <c r="B39" i="7" s="1"/>
  <c r="B82" i="7" s="1"/>
  <c r="B7" i="7"/>
  <c r="B6" i="7"/>
  <c r="H126" i="7" s="1"/>
  <c r="I126" i="7" s="1"/>
  <c r="E30" i="6"/>
  <c r="D30" i="6"/>
  <c r="C30" i="6"/>
  <c r="B30" i="6"/>
  <c r="B13" i="6"/>
  <c r="B10" i="6"/>
  <c r="B14" i="6" s="1"/>
  <c r="B100" i="5"/>
  <c r="I83" i="5"/>
  <c r="E38" i="6" s="1"/>
  <c r="H83" i="5"/>
  <c r="E37" i="6" s="1"/>
  <c r="I75" i="5"/>
  <c r="G75" i="5"/>
  <c r="H74" i="5"/>
  <c r="G74" i="5"/>
  <c r="I73" i="5"/>
  <c r="G73" i="5"/>
  <c r="H72" i="5"/>
  <c r="G72" i="5"/>
  <c r="H71" i="5"/>
  <c r="G71" i="5"/>
  <c r="B71" i="5"/>
  <c r="I70" i="5"/>
  <c r="G70" i="5"/>
  <c r="I69" i="5"/>
  <c r="G69" i="5"/>
  <c r="B69" i="5"/>
  <c r="H69" i="5" s="1"/>
  <c r="J69" i="5" s="1"/>
  <c r="I68" i="5"/>
  <c r="G68" i="5"/>
  <c r="B68" i="5"/>
  <c r="H68" i="5" s="1"/>
  <c r="J68" i="5" s="1"/>
  <c r="A68" i="5"/>
  <c r="I67" i="5"/>
  <c r="G67" i="5"/>
  <c r="A67" i="5"/>
  <c r="I66" i="5"/>
  <c r="G66" i="5"/>
  <c r="I65" i="5"/>
  <c r="G65" i="5"/>
  <c r="B57" i="5"/>
  <c r="B9" i="5"/>
  <c r="B6" i="5"/>
  <c r="B61" i="5" s="1"/>
  <c r="I76" i="4"/>
  <c r="D38" i="6" s="1"/>
  <c r="H76" i="4"/>
  <c r="D37" i="6" s="1"/>
  <c r="H70" i="4"/>
  <c r="B70" i="4"/>
  <c r="I69" i="4"/>
  <c r="G69" i="4"/>
  <c r="H68" i="4"/>
  <c r="I67" i="4"/>
  <c r="G67" i="4"/>
  <c r="H66" i="4"/>
  <c r="H65" i="4"/>
  <c r="H64" i="4"/>
  <c r="I63" i="4"/>
  <c r="G63" i="4"/>
  <c r="I62" i="4"/>
  <c r="G62" i="4"/>
  <c r="I61" i="4"/>
  <c r="G61" i="4"/>
  <c r="B61" i="4"/>
  <c r="H61" i="4" s="1"/>
  <c r="J61" i="4" s="1"/>
  <c r="I60" i="4"/>
  <c r="G60" i="4"/>
  <c r="I59" i="4"/>
  <c r="G59" i="4"/>
  <c r="I58" i="4"/>
  <c r="G58" i="4"/>
  <c r="I57" i="4"/>
  <c r="G57" i="4"/>
  <c r="I56" i="4"/>
  <c r="G56" i="4"/>
  <c r="I55" i="4"/>
  <c r="G55" i="4"/>
  <c r="I54" i="4"/>
  <c r="B19" i="4"/>
  <c r="B18" i="4"/>
  <c r="B17" i="4"/>
  <c r="B16" i="4"/>
  <c r="B15" i="4"/>
  <c r="B14" i="4"/>
  <c r="G54" i="4" s="1"/>
  <c r="B13" i="4"/>
  <c r="B12" i="4"/>
  <c r="B11" i="4"/>
  <c r="B10" i="4"/>
  <c r="G64" i="4" s="1"/>
  <c r="H107" i="3"/>
  <c r="B107" i="3"/>
  <c r="H106" i="3"/>
  <c r="H105" i="3"/>
  <c r="H104" i="3"/>
  <c r="H103" i="3"/>
  <c r="I102" i="3"/>
  <c r="G102" i="3"/>
  <c r="I101" i="3"/>
  <c r="G101" i="3"/>
  <c r="H101" i="3" s="1"/>
  <c r="J101" i="3" s="1"/>
  <c r="I100" i="3"/>
  <c r="I99" i="3"/>
  <c r="I98" i="3"/>
  <c r="I97" i="3"/>
  <c r="I96" i="3"/>
  <c r="I95" i="3"/>
  <c r="I94" i="3"/>
  <c r="G94" i="3"/>
  <c r="I93" i="3"/>
  <c r="I92" i="3"/>
  <c r="I91" i="3"/>
  <c r="I90" i="3"/>
  <c r="G90" i="3"/>
  <c r="F90" i="3"/>
  <c r="I89" i="3"/>
  <c r="G89" i="3"/>
  <c r="F89" i="3"/>
  <c r="A89" i="3"/>
  <c r="B66" i="3"/>
  <c r="B27" i="3"/>
  <c r="B26" i="3"/>
  <c r="G96" i="3" s="1"/>
  <c r="B25" i="3"/>
  <c r="B24" i="3"/>
  <c r="G103" i="3" s="1"/>
  <c r="B23" i="3"/>
  <c r="B22" i="3"/>
  <c r="B21" i="3"/>
  <c r="B20" i="3"/>
  <c r="B19" i="3"/>
  <c r="B18" i="3"/>
  <c r="B73" i="3" s="1"/>
  <c r="B74" i="3" s="1"/>
  <c r="B14" i="3"/>
  <c r="B62" i="3" s="1"/>
  <c r="B110" i="5" s="1"/>
  <c r="C44" i="1" s="1"/>
  <c r="B13" i="3"/>
  <c r="B6" i="3"/>
  <c r="B60" i="3" s="1"/>
  <c r="D51" i="8" s="1"/>
  <c r="E51" i="8" s="1"/>
  <c r="H267" i="2"/>
  <c r="G267" i="2"/>
  <c r="H266" i="2"/>
  <c r="G266" i="2"/>
  <c r="I265" i="2"/>
  <c r="H261" i="2"/>
  <c r="G261" i="2"/>
  <c r="H260" i="2"/>
  <c r="G260" i="2"/>
  <c r="B260" i="2"/>
  <c r="I260" i="2" s="1"/>
  <c r="J260" i="2" s="1"/>
  <c r="H259" i="2"/>
  <c r="G259" i="2"/>
  <c r="H258" i="2"/>
  <c r="G258" i="2"/>
  <c r="H257" i="2"/>
  <c r="G257" i="2"/>
  <c r="H256" i="2"/>
  <c r="G256" i="2"/>
  <c r="H255" i="2"/>
  <c r="G255" i="2"/>
  <c r="H254" i="2"/>
  <c r="G254" i="2"/>
  <c r="H253" i="2"/>
  <c r="G253" i="2"/>
  <c r="B253" i="2"/>
  <c r="I253" i="2" s="1"/>
  <c r="I249" i="2"/>
  <c r="I248" i="2"/>
  <c r="B248" i="2"/>
  <c r="H248" i="2" s="1"/>
  <c r="J248" i="2" s="1"/>
  <c r="I247" i="2"/>
  <c r="I246" i="2"/>
  <c r="I242" i="2"/>
  <c r="I241" i="2"/>
  <c r="I243" i="2" s="1"/>
  <c r="I237" i="2"/>
  <c r="I238" i="2" s="1"/>
  <c r="I233" i="2"/>
  <c r="I232" i="2"/>
  <c r="I231" i="2"/>
  <c r="I230" i="2"/>
  <c r="I229" i="2"/>
  <c r="G229" i="2"/>
  <c r="I228" i="2"/>
  <c r="G228" i="2"/>
  <c r="I227" i="2"/>
  <c r="G227" i="2"/>
  <c r="I223" i="2"/>
  <c r="I224" i="2" s="1"/>
  <c r="I222" i="2"/>
  <c r="I218" i="2"/>
  <c r="I217" i="2"/>
  <c r="I216" i="2"/>
  <c r="I215" i="2"/>
  <c r="I214" i="2"/>
  <c r="I213" i="2"/>
  <c r="I212" i="2"/>
  <c r="I211" i="2"/>
  <c r="I210" i="2"/>
  <c r="I209" i="2"/>
  <c r="I208" i="2"/>
  <c r="I219" i="2" s="1"/>
  <c r="B202" i="2"/>
  <c r="B195" i="2"/>
  <c r="B189" i="2"/>
  <c r="B249" i="2" s="1"/>
  <c r="H249" i="2" s="1"/>
  <c r="B188" i="2"/>
  <c r="D42" i="8" s="1"/>
  <c r="E42" i="8" s="1"/>
  <c r="B184" i="2"/>
  <c r="B17" i="7" s="1"/>
  <c r="B44" i="7" s="1"/>
  <c r="B106" i="7" s="1"/>
  <c r="B183" i="2"/>
  <c r="B16" i="7" s="1"/>
  <c r="B166" i="2"/>
  <c r="B159" i="2"/>
  <c r="B154" i="2"/>
  <c r="B153" i="2"/>
  <c r="B161" i="2" s="1"/>
  <c r="B150" i="2"/>
  <c r="B147" i="2"/>
  <c r="B145" i="2"/>
  <c r="B144" i="2"/>
  <c r="B143" i="2"/>
  <c r="B138" i="2"/>
  <c r="B137" i="2"/>
  <c r="B140" i="2" s="1"/>
  <c r="B127" i="2"/>
  <c r="B122" i="2"/>
  <c r="B118" i="2"/>
  <c r="B139" i="2" s="1"/>
  <c r="B116" i="2"/>
  <c r="B115" i="2"/>
  <c r="B113" i="2"/>
  <c r="B111" i="2"/>
  <c r="D14" i="8" s="1"/>
  <c r="E14" i="8" s="1"/>
  <c r="B108" i="2"/>
  <c r="B196" i="2" s="1"/>
  <c r="B103" i="2"/>
  <c r="B102" i="2"/>
  <c r="B100" i="2"/>
  <c r="B101" i="2" s="1"/>
  <c r="B95" i="2"/>
  <c r="B94" i="2"/>
  <c r="B93" i="2"/>
  <c r="B92" i="2"/>
  <c r="B88" i="2"/>
  <c r="B91" i="2" s="1"/>
  <c r="B87" i="2"/>
  <c r="B90" i="2" s="1"/>
  <c r="B86" i="2"/>
  <c r="B218" i="2" s="1"/>
  <c r="H218" i="2" s="1"/>
  <c r="J218" i="2" s="1"/>
  <c r="B71" i="2"/>
  <c r="B43" i="2"/>
  <c r="B54" i="1"/>
  <c r="C22" i="1"/>
  <c r="A22" i="1"/>
  <c r="C21" i="1"/>
  <c r="A20" i="1"/>
  <c r="C19" i="1"/>
  <c r="A19" i="1"/>
  <c r="C17" i="1"/>
  <c r="C13" i="1"/>
  <c r="B105" i="2" l="1"/>
  <c r="G68" i="4"/>
  <c r="F115" i="7"/>
  <c r="I115" i="7" s="1"/>
  <c r="B156" i="2"/>
  <c r="G104" i="3"/>
  <c r="G105" i="3"/>
  <c r="G66" i="4"/>
  <c r="B97" i="2"/>
  <c r="B160" i="2"/>
  <c r="B217" i="2"/>
  <c r="H217" i="2" s="1"/>
  <c r="J217" i="2" s="1"/>
  <c r="B61" i="3"/>
  <c r="B20" i="2" s="1"/>
  <c r="B8" i="2" s="1"/>
  <c r="H59" i="7"/>
  <c r="I59" i="7" s="1"/>
  <c r="B185" i="2"/>
  <c r="B18" i="7" s="1"/>
  <c r="B45" i="7" s="1"/>
  <c r="B107" i="7" s="1"/>
  <c r="H107" i="7" s="1"/>
  <c r="G97" i="3"/>
  <c r="G107" i="3"/>
  <c r="I107" i="3" s="1"/>
  <c r="H61" i="7"/>
  <c r="J249" i="2"/>
  <c r="G98" i="3"/>
  <c r="G65" i="4"/>
  <c r="D43" i="8"/>
  <c r="E43" i="8" s="1"/>
  <c r="H60" i="7"/>
  <c r="H82" i="7"/>
  <c r="F82" i="7"/>
  <c r="H113" i="7"/>
  <c r="H262" i="2"/>
  <c r="H67" i="7"/>
  <c r="H116" i="7"/>
  <c r="B22" i="7"/>
  <c r="B49" i="7" s="1"/>
  <c r="B73" i="7" s="1"/>
  <c r="B43" i="7"/>
  <c r="J253" i="2"/>
  <c r="B74" i="7"/>
  <c r="B70" i="7"/>
  <c r="B81" i="7"/>
  <c r="B62" i="7"/>
  <c r="B58" i="7"/>
  <c r="B54" i="7"/>
  <c r="B84" i="7"/>
  <c r="B80" i="7"/>
  <c r="B57" i="7"/>
  <c r="B72" i="7"/>
  <c r="B68" i="7"/>
  <c r="B87" i="7"/>
  <c r="B79" i="7"/>
  <c r="B56" i="7"/>
  <c r="B71" i="7"/>
  <c r="H69" i="7"/>
  <c r="I69" i="7" s="1"/>
  <c r="H117" i="7"/>
  <c r="B96" i="7"/>
  <c r="B99" i="7"/>
  <c r="B95" i="7"/>
  <c r="B98" i="7"/>
  <c r="B94" i="7"/>
  <c r="I234" i="2"/>
  <c r="D94" i="8"/>
  <c r="E94" i="8" s="1"/>
  <c r="B111" i="5"/>
  <c r="B203" i="2"/>
  <c r="B97" i="7"/>
  <c r="I250" i="2"/>
  <c r="E39" i="6"/>
  <c r="H119" i="7"/>
  <c r="I119" i="7" s="1"/>
  <c r="B68" i="4"/>
  <c r="I68" i="4" s="1"/>
  <c r="J68" i="4" s="1"/>
  <c r="B67" i="4"/>
  <c r="H67" i="4" s="1"/>
  <c r="J67" i="4" s="1"/>
  <c r="B168" i="2"/>
  <c r="D21" i="8" s="1"/>
  <c r="E21" i="8" s="1"/>
  <c r="B8" i="5"/>
  <c r="C7" i="2"/>
  <c r="B200" i="2"/>
  <c r="B201" i="2" s="1"/>
  <c r="B7" i="4"/>
  <c r="B16" i="3"/>
  <c r="B64" i="3" s="1"/>
  <c r="I71" i="5"/>
  <c r="B55" i="7"/>
  <c r="H106" i="7"/>
  <c r="F106" i="7"/>
  <c r="H124" i="7"/>
  <c r="J107" i="3"/>
  <c r="B21" i="7"/>
  <c r="B48" i="7" s="1"/>
  <c r="B216" i="2"/>
  <c r="H216" i="2" s="1"/>
  <c r="J216" i="2" s="1"/>
  <c r="B259" i="2"/>
  <c r="I259" i="2" s="1"/>
  <c r="J259" i="2" s="1"/>
  <c r="B186" i="2"/>
  <c r="B6" i="2"/>
  <c r="B199" i="2"/>
  <c r="D46" i="8" s="1"/>
  <c r="E46" i="8" s="1"/>
  <c r="D6" i="8"/>
  <c r="E6" i="8" s="1"/>
  <c r="B258" i="2"/>
  <c r="I258" i="2" s="1"/>
  <c r="J258" i="2" s="1"/>
  <c r="D38" i="8"/>
  <c r="E38" i="8" s="1"/>
  <c r="D37" i="8"/>
  <c r="E37" i="8" s="1"/>
  <c r="B18" i="6"/>
  <c r="H125" i="7"/>
  <c r="D36" i="8"/>
  <c r="E36" i="8" s="1"/>
  <c r="B120" i="2"/>
  <c r="B136" i="2"/>
  <c r="B152" i="2"/>
  <c r="B104" i="2"/>
  <c r="B178" i="2"/>
  <c r="B114" i="2"/>
  <c r="B257" i="2"/>
  <c r="I257" i="2" s="1"/>
  <c r="D39" i="6"/>
  <c r="B17" i="3"/>
  <c r="F67" i="7"/>
  <c r="F116" i="7"/>
  <c r="F60" i="7"/>
  <c r="J83" i="5"/>
  <c r="J76" i="4"/>
  <c r="F124" i="7"/>
  <c r="F113" i="7"/>
  <c r="F117" i="7"/>
  <c r="D31" i="8"/>
  <c r="E31" i="8" s="1"/>
  <c r="F61" i="7"/>
  <c r="I61" i="7" s="1"/>
  <c r="G70" i="4"/>
  <c r="I70" i="4" s="1"/>
  <c r="J70" i="4" s="1"/>
  <c r="G106" i="3"/>
  <c r="F125" i="7"/>
  <c r="B155" i="2"/>
  <c r="B163" i="2" s="1"/>
  <c r="B89" i="2"/>
  <c r="B96" i="2" s="1"/>
  <c r="B9" i="3"/>
  <c r="B10" i="3"/>
  <c r="I82" i="7" l="1"/>
  <c r="H127" i="7"/>
  <c r="C29" i="1" s="1"/>
  <c r="B55" i="1"/>
  <c r="B110" i="2"/>
  <c r="B99" i="2"/>
  <c r="B121" i="2"/>
  <c r="B125" i="2" s="1"/>
  <c r="B132" i="2" s="1"/>
  <c r="D9" i="8"/>
  <c r="E9" i="8" s="1"/>
  <c r="B162" i="2"/>
  <c r="B117" i="2"/>
  <c r="B134" i="2"/>
  <c r="I117" i="7"/>
  <c r="I60" i="7"/>
  <c r="F107" i="7"/>
  <c r="I107" i="7" s="1"/>
  <c r="D11" i="8"/>
  <c r="E11" i="8" s="1"/>
  <c r="C53" i="1"/>
  <c r="B105" i="7"/>
  <c r="B108" i="7"/>
  <c r="B104" i="7"/>
  <c r="I124" i="7"/>
  <c r="F127" i="7"/>
  <c r="B29" i="1" s="1"/>
  <c r="D29" i="1" s="1"/>
  <c r="H79" i="7"/>
  <c r="F79" i="7"/>
  <c r="B141" i="2"/>
  <c r="B148" i="2" s="1"/>
  <c r="B142" i="2"/>
  <c r="B107" i="2"/>
  <c r="D10" i="8"/>
  <c r="E10" i="8" s="1"/>
  <c r="B106" i="2"/>
  <c r="B7" i="2"/>
  <c r="B7" i="5"/>
  <c r="B6" i="4"/>
  <c r="B53" i="1"/>
  <c r="B15" i="3"/>
  <c r="B63" i="3" s="1"/>
  <c r="B48" i="4"/>
  <c r="B47" i="4"/>
  <c r="D95" i="8"/>
  <c r="E95" i="8" s="1"/>
  <c r="B112" i="5"/>
  <c r="B44" i="1" s="1"/>
  <c r="H68" i="7"/>
  <c r="F68" i="7"/>
  <c r="I68" i="7" s="1"/>
  <c r="D26" i="8"/>
  <c r="E26" i="8" s="1"/>
  <c r="B210" i="2"/>
  <c r="H210" i="2" s="1"/>
  <c r="J210" i="2" s="1"/>
  <c r="B198" i="2"/>
  <c r="B109" i="2"/>
  <c r="B197" i="2" s="1"/>
  <c r="B265" i="2"/>
  <c r="D7" i="8"/>
  <c r="E7" i="8" s="1"/>
  <c r="B267" i="2"/>
  <c r="I267" i="2" s="1"/>
  <c r="J267" i="2" s="1"/>
  <c r="C54" i="1"/>
  <c r="B19" i="6"/>
  <c r="C6" i="2"/>
  <c r="I67" i="7"/>
  <c r="H57" i="7"/>
  <c r="F57" i="7"/>
  <c r="H73" i="7"/>
  <c r="F73" i="7"/>
  <c r="I73" i="7" s="1"/>
  <c r="B46" i="5"/>
  <c r="B53" i="5"/>
  <c r="B56" i="5" s="1"/>
  <c r="B103" i="5"/>
  <c r="H80" i="7"/>
  <c r="F80" i="7"/>
  <c r="I80" i="7" s="1"/>
  <c r="B123" i="2"/>
  <c r="B131" i="2" s="1"/>
  <c r="B180" i="2" s="1"/>
  <c r="H71" i="7"/>
  <c r="F71" i="7"/>
  <c r="H87" i="7"/>
  <c r="F87" i="7"/>
  <c r="B84" i="3"/>
  <c r="H94" i="7"/>
  <c r="F94" i="7"/>
  <c r="H84" i="7"/>
  <c r="F84" i="7"/>
  <c r="H98" i="7"/>
  <c r="F98" i="7"/>
  <c r="I98" i="7" s="1"/>
  <c r="H54" i="7"/>
  <c r="F54" i="7"/>
  <c r="B128" i="2"/>
  <c r="B176" i="2" s="1"/>
  <c r="D27" i="8" s="1"/>
  <c r="E27" i="8" s="1"/>
  <c r="B129" i="2"/>
  <c r="B177" i="2" s="1"/>
  <c r="B158" i="2"/>
  <c r="B157" i="2"/>
  <c r="B164" i="2" s="1"/>
  <c r="I116" i="7"/>
  <c r="H72" i="7"/>
  <c r="F72" i="7"/>
  <c r="I72" i="7" s="1"/>
  <c r="B187" i="2"/>
  <c r="B98" i="2"/>
  <c r="J71" i="5"/>
  <c r="I125" i="7"/>
  <c r="H95" i="7"/>
  <c r="F95" i="7"/>
  <c r="H58" i="7"/>
  <c r="F58" i="7"/>
  <c r="I58" i="7" s="1"/>
  <c r="I113" i="7"/>
  <c r="D49" i="8"/>
  <c r="E49" i="8" s="1"/>
  <c r="B69" i="3"/>
  <c r="B67" i="3"/>
  <c r="D52" i="8" s="1"/>
  <c r="E52" i="8" s="1"/>
  <c r="B104" i="5"/>
  <c r="H99" i="7"/>
  <c r="F99" i="7"/>
  <c r="I99" i="7" s="1"/>
  <c r="H62" i="7"/>
  <c r="F62" i="7"/>
  <c r="I106" i="7"/>
  <c r="J257" i="2"/>
  <c r="H96" i="7"/>
  <c r="F96" i="7"/>
  <c r="F81" i="7"/>
  <c r="H81" i="7"/>
  <c r="B124" i="2"/>
  <c r="H56" i="7"/>
  <c r="F56" i="7"/>
  <c r="I56" i="7" s="1"/>
  <c r="H70" i="7"/>
  <c r="F70" i="7"/>
  <c r="H55" i="7"/>
  <c r="F55" i="7"/>
  <c r="I55" i="7" s="1"/>
  <c r="B246" i="2"/>
  <c r="H246" i="2" s="1"/>
  <c r="D40" i="8"/>
  <c r="E40" i="8" s="1"/>
  <c r="H97" i="7"/>
  <c r="F97" i="7"/>
  <c r="I97" i="7" s="1"/>
  <c r="B133" i="2"/>
  <c r="B172" i="2" s="1"/>
  <c r="B149" i="2"/>
  <c r="B173" i="2" s="1"/>
  <c r="B165" i="2"/>
  <c r="B146" i="2"/>
  <c r="H74" i="7"/>
  <c r="F74" i="7"/>
  <c r="I74" i="7" s="1"/>
  <c r="H75" i="7" l="1"/>
  <c r="C24" i="1" s="1"/>
  <c r="B9" i="2"/>
  <c r="B112" i="2"/>
  <c r="D13" i="8"/>
  <c r="E13" i="8" s="1"/>
  <c r="B56" i="1"/>
  <c r="B254" i="2"/>
  <c r="I254" i="2" s="1"/>
  <c r="B179" i="2"/>
  <c r="D30" i="8" s="1"/>
  <c r="E30" i="8" s="1"/>
  <c r="H63" i="7"/>
  <c r="B174" i="2"/>
  <c r="I57" i="7"/>
  <c r="B126" i="2"/>
  <c r="B170" i="2" s="1"/>
  <c r="I62" i="7"/>
  <c r="I96" i="7"/>
  <c r="I87" i="7"/>
  <c r="B208" i="2"/>
  <c r="H208" i="2" s="1"/>
  <c r="D32" i="8"/>
  <c r="E32" i="8" s="1"/>
  <c r="B213" i="2"/>
  <c r="H213" i="2" s="1"/>
  <c r="J213" i="2" s="1"/>
  <c r="B98" i="3"/>
  <c r="H98" i="3" s="1"/>
  <c r="J98" i="3" s="1"/>
  <c r="D68" i="8"/>
  <c r="E68" i="8" s="1"/>
  <c r="B167" i="2"/>
  <c r="B182" i="2"/>
  <c r="B14" i="7"/>
  <c r="B41" i="7" s="1"/>
  <c r="B39" i="1"/>
  <c r="E29" i="1" s="1"/>
  <c r="D12" i="8"/>
  <c r="E12" i="8" s="1"/>
  <c r="I70" i="7"/>
  <c r="B247" i="2"/>
  <c r="H247" i="2" s="1"/>
  <c r="J247" i="2" s="1"/>
  <c r="D41" i="8"/>
  <c r="E41" i="8" s="1"/>
  <c r="I71" i="7"/>
  <c r="F75" i="7"/>
  <c r="B24" i="1" s="1"/>
  <c r="D24" i="1" s="1"/>
  <c r="B130" i="2"/>
  <c r="B181" i="2" s="1"/>
  <c r="I79" i="7"/>
  <c r="A65" i="5"/>
  <c r="D75" i="8"/>
  <c r="E75" i="8" s="1"/>
  <c r="B48" i="5"/>
  <c r="B47" i="5"/>
  <c r="B51" i="5" s="1"/>
  <c r="D79" i="8" s="1"/>
  <c r="E79" i="8" s="1"/>
  <c r="D45" i="8"/>
  <c r="E45" i="8" s="1"/>
  <c r="B242" i="2"/>
  <c r="H242" i="2" s="1"/>
  <c r="J242" i="2" s="1"/>
  <c r="B57" i="4"/>
  <c r="H57" i="4" s="1"/>
  <c r="J57" i="4" s="1"/>
  <c r="I54" i="7"/>
  <c r="I63" i="7" s="1"/>
  <c r="F63" i="7"/>
  <c r="B212" i="2"/>
  <c r="H212" i="2" s="1"/>
  <c r="B15" i="7"/>
  <c r="B42" i="7" s="1"/>
  <c r="D29" i="8"/>
  <c r="E29" i="8" s="1"/>
  <c r="I127" i="7"/>
  <c r="I95" i="7"/>
  <c r="H100" i="7"/>
  <c r="C26" i="1" s="1"/>
  <c r="I81" i="7"/>
  <c r="B169" i="2"/>
  <c r="D22" i="8" s="1"/>
  <c r="E22" i="8" s="1"/>
  <c r="H104" i="7"/>
  <c r="F104" i="7"/>
  <c r="B108" i="5"/>
  <c r="B49" i="5"/>
  <c r="C23" i="1"/>
  <c r="J246" i="2"/>
  <c r="B72" i="3"/>
  <c r="D58" i="8" s="1"/>
  <c r="E58" i="8" s="1"/>
  <c r="D55" i="8"/>
  <c r="E55" i="8" s="1"/>
  <c r="B105" i="5"/>
  <c r="B70" i="3"/>
  <c r="D48" i="8"/>
  <c r="E48" i="8" s="1"/>
  <c r="B65" i="3"/>
  <c r="F108" i="7"/>
  <c r="H108" i="7"/>
  <c r="B241" i="2"/>
  <c r="H241" i="2" s="1"/>
  <c r="D44" i="8"/>
  <c r="E44" i="8" s="1"/>
  <c r="F100" i="7"/>
  <c r="B26" i="1" s="1"/>
  <c r="I94" i="7"/>
  <c r="J254" i="2"/>
  <c r="H105" i="7"/>
  <c r="F105" i="7"/>
  <c r="I105" i="7" s="1"/>
  <c r="B211" i="2"/>
  <c r="H211" i="2" s="1"/>
  <c r="J211" i="2" s="1"/>
  <c r="D28" i="8"/>
  <c r="E28" i="8" s="1"/>
  <c r="I84" i="7"/>
  <c r="B67" i="5"/>
  <c r="H67" i="5" s="1"/>
  <c r="J67" i="5" s="1"/>
  <c r="D81" i="8"/>
  <c r="E81" i="8" s="1"/>
  <c r="B9" i="4"/>
  <c r="B8" i="4"/>
  <c r="B56" i="4"/>
  <c r="H56" i="4" s="1"/>
  <c r="J56" i="4" s="1"/>
  <c r="B46" i="4"/>
  <c r="B55" i="4" s="1"/>
  <c r="H55" i="4" s="1"/>
  <c r="J55" i="4" s="1"/>
  <c r="I75" i="7" l="1"/>
  <c r="B255" i="2"/>
  <c r="I255" i="2" s="1"/>
  <c r="J255" i="2" s="1"/>
  <c r="B191" i="2"/>
  <c r="C56" i="1"/>
  <c r="D39" i="8"/>
  <c r="E39" i="8" s="1"/>
  <c r="D15" i="8"/>
  <c r="E15" i="8" s="1"/>
  <c r="B190" i="2"/>
  <c r="B19" i="7"/>
  <c r="B46" i="7" s="1"/>
  <c r="B222" i="2"/>
  <c r="B192" i="2"/>
  <c r="C9" i="2"/>
  <c r="H250" i="2"/>
  <c r="D76" i="8"/>
  <c r="E76" i="8" s="1"/>
  <c r="B54" i="5"/>
  <c r="I100" i="7"/>
  <c r="B85" i="7"/>
  <c r="B118" i="7"/>
  <c r="B86" i="7"/>
  <c r="B63" i="4"/>
  <c r="H63" i="4" s="1"/>
  <c r="J63" i="4" s="1"/>
  <c r="D71" i="8"/>
  <c r="E71" i="8" s="1"/>
  <c r="B50" i="5"/>
  <c r="B215" i="2"/>
  <c r="H215" i="2" s="1"/>
  <c r="J215" i="2" s="1"/>
  <c r="D35" i="8"/>
  <c r="E35" i="8" s="1"/>
  <c r="B64" i="4"/>
  <c r="B50" i="4"/>
  <c r="B21" i="6"/>
  <c r="B49" i="4"/>
  <c r="B59" i="4"/>
  <c r="H59" i="4" s="1"/>
  <c r="J59" i="4" s="1"/>
  <c r="B65" i="4"/>
  <c r="I65" i="4" s="1"/>
  <c r="J65" i="4" s="1"/>
  <c r="B62" i="4"/>
  <c r="H62" i="4" s="1"/>
  <c r="J62" i="4" s="1"/>
  <c r="D70" i="8"/>
  <c r="E70" i="8" s="1"/>
  <c r="D34" i="8"/>
  <c r="E34" i="8" s="1"/>
  <c r="D33" i="8"/>
  <c r="E33" i="8" s="1"/>
  <c r="B237" i="2"/>
  <c r="H237" i="2" s="1"/>
  <c r="B214" i="2"/>
  <c r="H214" i="2" s="1"/>
  <c r="J214" i="2" s="1"/>
  <c r="B171" i="2"/>
  <c r="D20" i="8"/>
  <c r="E20" i="8" s="1"/>
  <c r="D93" i="8"/>
  <c r="E93" i="8" s="1"/>
  <c r="B109" i="5"/>
  <c r="B43" i="1" s="1"/>
  <c r="J212" i="2"/>
  <c r="H243" i="2"/>
  <c r="J241" i="2"/>
  <c r="J243" i="2" s="1"/>
  <c r="F109" i="7"/>
  <c r="B27" i="1" s="1"/>
  <c r="I104" i="7"/>
  <c r="B23" i="1"/>
  <c r="D23" i="1" s="1"/>
  <c r="E23" i="1" s="1"/>
  <c r="D23" i="8"/>
  <c r="E23" i="8" s="1"/>
  <c r="B209" i="2"/>
  <c r="H209" i="2" s="1"/>
  <c r="J209" i="2" s="1"/>
  <c r="B113" i="5"/>
  <c r="D92" i="8"/>
  <c r="E92" i="8" s="1"/>
  <c r="B107" i="5"/>
  <c r="C42" i="1" s="1"/>
  <c r="B106" i="5"/>
  <c r="B42" i="1" s="1"/>
  <c r="J250" i="2"/>
  <c r="D26" i="1"/>
  <c r="E26" i="1" s="1"/>
  <c r="H109" i="7"/>
  <c r="C27" i="1" s="1"/>
  <c r="C58" i="1"/>
  <c r="B100" i="3"/>
  <c r="H100" i="3" s="1"/>
  <c r="J100" i="3" s="1"/>
  <c r="D50" i="8"/>
  <c r="E50" i="8" s="1"/>
  <c r="B79" i="3"/>
  <c r="B60" i="4"/>
  <c r="H60" i="4" s="1"/>
  <c r="J60" i="4" s="1"/>
  <c r="E24" i="1"/>
  <c r="B58" i="1"/>
  <c r="B20" i="7"/>
  <c r="B47" i="7" s="1"/>
  <c r="B89" i="7" s="1"/>
  <c r="B103" i="3"/>
  <c r="B99" i="3"/>
  <c r="H99" i="3" s="1"/>
  <c r="J99" i="3" s="1"/>
  <c r="B95" i="3"/>
  <c r="H95" i="3" s="1"/>
  <c r="J95" i="3" s="1"/>
  <c r="B102" i="3"/>
  <c r="H102" i="3" s="1"/>
  <c r="J102" i="3" s="1"/>
  <c r="B20" i="6"/>
  <c r="B81" i="3"/>
  <c r="B80" i="3"/>
  <c r="B104" i="3"/>
  <c r="I104" i="3" s="1"/>
  <c r="J104" i="3" s="1"/>
  <c r="D53" i="8"/>
  <c r="E53" i="8" s="1"/>
  <c r="I108" i="7"/>
  <c r="B68" i="3"/>
  <c r="B76" i="3" s="1"/>
  <c r="B175" i="2"/>
  <c r="B58" i="4"/>
  <c r="H58" i="4" s="1"/>
  <c r="J58" i="4" s="1"/>
  <c r="J208" i="2"/>
  <c r="B261" i="2" l="1"/>
  <c r="I261" i="2" s="1"/>
  <c r="B229" i="2"/>
  <c r="H229" i="2" s="1"/>
  <c r="D18" i="8"/>
  <c r="E18" i="8" s="1"/>
  <c r="B88" i="7"/>
  <c r="B83" i="7"/>
  <c r="B96" i="5"/>
  <c r="B227" i="2"/>
  <c r="H227" i="2" s="1"/>
  <c r="J227" i="2" s="1"/>
  <c r="B193" i="2"/>
  <c r="B256" i="2"/>
  <c r="D16" i="8"/>
  <c r="E16" i="8" s="1"/>
  <c r="I109" i="7"/>
  <c r="J219" i="2"/>
  <c r="D27" i="1"/>
  <c r="E27" i="1" s="1"/>
  <c r="D17" i="8"/>
  <c r="E17" i="8" s="1"/>
  <c r="B228" i="2"/>
  <c r="H228" i="2" s="1"/>
  <c r="J228" i="2" s="1"/>
  <c r="H222" i="2"/>
  <c r="B223" i="2"/>
  <c r="H223" i="2" s="1"/>
  <c r="J223" i="2" s="1"/>
  <c r="D60" i="8"/>
  <c r="E60" i="8" s="1"/>
  <c r="B90" i="3"/>
  <c r="H90" i="3" s="1"/>
  <c r="J90" i="3" s="1"/>
  <c r="H219" i="2"/>
  <c r="H118" i="7"/>
  <c r="F118" i="7"/>
  <c r="I118" i="7" s="1"/>
  <c r="D63" i="8"/>
  <c r="E63" i="8" s="1"/>
  <c r="B94" i="3"/>
  <c r="H94" i="3" s="1"/>
  <c r="J94" i="3" s="1"/>
  <c r="D65" i="8"/>
  <c r="E65" i="8" s="1"/>
  <c r="B106" i="3"/>
  <c r="I106" i="3" s="1"/>
  <c r="B97" i="3"/>
  <c r="H97" i="3" s="1"/>
  <c r="D77" i="8"/>
  <c r="E77" i="8" s="1"/>
  <c r="B65" i="5"/>
  <c r="H65" i="5" s="1"/>
  <c r="F85" i="7"/>
  <c r="I85" i="7" s="1"/>
  <c r="H85" i="7"/>
  <c r="D57" i="1"/>
  <c r="B54" i="4"/>
  <c r="H54" i="4" s="1"/>
  <c r="B66" i="4"/>
  <c r="I66" i="4" s="1"/>
  <c r="J66" i="4" s="1"/>
  <c r="H86" i="7"/>
  <c r="F86" i="7"/>
  <c r="I86" i="7" s="1"/>
  <c r="F89" i="7"/>
  <c r="I89" i="7" s="1"/>
  <c r="H89" i="7"/>
  <c r="B96" i="3"/>
  <c r="H96" i="3" s="1"/>
  <c r="J96" i="3" s="1"/>
  <c r="D64" i="8"/>
  <c r="E64" i="8" s="1"/>
  <c r="B105" i="3"/>
  <c r="I105" i="3" s="1"/>
  <c r="J105" i="3" s="1"/>
  <c r="B82" i="3"/>
  <c r="I103" i="3"/>
  <c r="B98" i="5"/>
  <c r="D72" i="8"/>
  <c r="E72" i="8" s="1"/>
  <c r="D25" i="8"/>
  <c r="E25" i="8" s="1"/>
  <c r="C11" i="2"/>
  <c r="I64" i="4"/>
  <c r="B75" i="4"/>
  <c r="D27" i="6" s="1"/>
  <c r="D28" i="6" s="1"/>
  <c r="D24" i="8"/>
  <c r="E24" i="8" s="1"/>
  <c r="B11" i="2"/>
  <c r="B71" i="3"/>
  <c r="B83" i="3"/>
  <c r="D67" i="8" s="1"/>
  <c r="E67" i="8" s="1"/>
  <c r="D54" i="8"/>
  <c r="E54" i="8" s="1"/>
  <c r="B77" i="3"/>
  <c r="B114" i="5"/>
  <c r="C45" i="1" s="1"/>
  <c r="B45" i="1"/>
  <c r="B11" i="7"/>
  <c r="B114" i="7" s="1"/>
  <c r="H238" i="2"/>
  <c r="J237" i="2"/>
  <c r="J238" i="2" s="1"/>
  <c r="D78" i="8"/>
  <c r="E78" i="8" s="1"/>
  <c r="B59" i="5"/>
  <c r="A66" i="5"/>
  <c r="B52" i="5"/>
  <c r="B20" i="4"/>
  <c r="B51" i="4" s="1"/>
  <c r="B69" i="4" s="1"/>
  <c r="H69" i="4" s="1"/>
  <c r="J69" i="4" s="1"/>
  <c r="J222" i="2" l="1"/>
  <c r="J224" i="2" s="1"/>
  <c r="H224" i="2"/>
  <c r="B266" i="2"/>
  <c r="I256" i="2"/>
  <c r="B47" i="1"/>
  <c r="D86" i="8"/>
  <c r="E86" i="8" s="1"/>
  <c r="H83" i="7"/>
  <c r="F83" i="7"/>
  <c r="I83" i="7" s="1"/>
  <c r="I90" i="7" s="1"/>
  <c r="H88" i="7"/>
  <c r="F88" i="7"/>
  <c r="I88" i="7" s="1"/>
  <c r="D19" i="8"/>
  <c r="E19" i="8" s="1"/>
  <c r="B194" i="2"/>
  <c r="B57" i="1"/>
  <c r="B10" i="2"/>
  <c r="J229" i="2"/>
  <c r="H275" i="2"/>
  <c r="I275" i="2"/>
  <c r="J261" i="2"/>
  <c r="H114" i="7"/>
  <c r="H120" i="7" s="1"/>
  <c r="C28" i="1" s="1"/>
  <c r="F114" i="7"/>
  <c r="D59" i="8"/>
  <c r="E59" i="8" s="1"/>
  <c r="B91" i="3"/>
  <c r="H91" i="3" s="1"/>
  <c r="J91" i="3" s="1"/>
  <c r="H115" i="3"/>
  <c r="J97" i="3"/>
  <c r="I115" i="3"/>
  <c r="J106" i="3"/>
  <c r="J64" i="4"/>
  <c r="I74" i="4"/>
  <c r="D26" i="6" s="1"/>
  <c r="I71" i="4"/>
  <c r="B55" i="5"/>
  <c r="B60" i="5"/>
  <c r="D56" i="8"/>
  <c r="E56" i="8" s="1"/>
  <c r="B75" i="3"/>
  <c r="B78" i="3"/>
  <c r="H71" i="4"/>
  <c r="J54" i="4"/>
  <c r="J71" i="4" s="1"/>
  <c r="H74" i="4"/>
  <c r="F90" i="7"/>
  <c r="B70" i="5"/>
  <c r="H70" i="5" s="1"/>
  <c r="J70" i="5" s="1"/>
  <c r="D83" i="8"/>
  <c r="E83" i="8" s="1"/>
  <c r="B72" i="5"/>
  <c r="C59" i="1"/>
  <c r="D88" i="8"/>
  <c r="E88" i="8" s="1"/>
  <c r="B48" i="1"/>
  <c r="B114" i="3"/>
  <c r="C27" i="6" s="1"/>
  <c r="C28" i="6" s="1"/>
  <c r="J103" i="3"/>
  <c r="I113" i="3"/>
  <c r="C26" i="6" s="1"/>
  <c r="I108" i="3"/>
  <c r="I110" i="3" s="1"/>
  <c r="J65" i="5"/>
  <c r="D66" i="8"/>
  <c r="E66" i="8" s="1"/>
  <c r="C57" i="1"/>
  <c r="B85" i="3"/>
  <c r="B97" i="5" s="1"/>
  <c r="H90" i="7" l="1"/>
  <c r="B230" i="2"/>
  <c r="H230" i="2" s="1"/>
  <c r="B232" i="2"/>
  <c r="H232" i="2" s="1"/>
  <c r="J232" i="2" s="1"/>
  <c r="C10" i="2"/>
  <c r="B233" i="2"/>
  <c r="H233" i="2" s="1"/>
  <c r="J233" i="2" s="1"/>
  <c r="B231" i="2"/>
  <c r="H231" i="2" s="1"/>
  <c r="J231" i="2" s="1"/>
  <c r="J256" i="2"/>
  <c r="J262" i="2" s="1"/>
  <c r="I262" i="2"/>
  <c r="I273" i="2"/>
  <c r="B26" i="6" s="1"/>
  <c r="I266" i="2"/>
  <c r="B274" i="2"/>
  <c r="B27" i="6" s="1"/>
  <c r="B28" i="6" s="1"/>
  <c r="B38" i="6"/>
  <c r="C18" i="1"/>
  <c r="B37" i="6"/>
  <c r="B39" i="6" s="1"/>
  <c r="B18" i="1"/>
  <c r="D18" i="1" s="1"/>
  <c r="E18" i="1" s="1"/>
  <c r="J275" i="2"/>
  <c r="C13" i="2" s="1"/>
  <c r="B20" i="1"/>
  <c r="C37" i="6"/>
  <c r="J115" i="3"/>
  <c r="B73" i="5"/>
  <c r="H73" i="5" s="1"/>
  <c r="J73" i="5" s="1"/>
  <c r="D84" i="8"/>
  <c r="E84" i="8" s="1"/>
  <c r="B75" i="5"/>
  <c r="H75" i="5" s="1"/>
  <c r="J75" i="5" s="1"/>
  <c r="D59" i="1"/>
  <c r="B74" i="5"/>
  <c r="I74" i="5" s="1"/>
  <c r="J74" i="5" s="1"/>
  <c r="B66" i="5"/>
  <c r="H66" i="5" s="1"/>
  <c r="D80" i="8"/>
  <c r="E80" i="8" s="1"/>
  <c r="B58" i="5"/>
  <c r="D57" i="8"/>
  <c r="E57" i="8" s="1"/>
  <c r="B89" i="3"/>
  <c r="H89" i="3" s="1"/>
  <c r="B93" i="3"/>
  <c r="H93" i="3" s="1"/>
  <c r="J93" i="3" s="1"/>
  <c r="B92" i="3"/>
  <c r="H92" i="3" s="1"/>
  <c r="J92" i="3" s="1"/>
  <c r="D62" i="8"/>
  <c r="E62" i="8" s="1"/>
  <c r="D61" i="8"/>
  <c r="E61" i="8" s="1"/>
  <c r="I72" i="5"/>
  <c r="C47" i="1"/>
  <c r="D87" i="8"/>
  <c r="E87" i="8" s="1"/>
  <c r="B25" i="1"/>
  <c r="C38" i="6"/>
  <c r="C20" i="1"/>
  <c r="I114" i="7"/>
  <c r="I120" i="7" s="1"/>
  <c r="I129" i="7" s="1"/>
  <c r="F120" i="7"/>
  <c r="B28" i="1" s="1"/>
  <c r="D28" i="1" s="1"/>
  <c r="E28" i="1" s="1"/>
  <c r="D25" i="6"/>
  <c r="D29" i="6" s="1"/>
  <c r="J74" i="4"/>
  <c r="J77" i="4" s="1"/>
  <c r="D40" i="6" s="1"/>
  <c r="F129" i="7" l="1"/>
  <c r="B82" i="5"/>
  <c r="E27" i="6" s="1"/>
  <c r="E28" i="6" s="1"/>
  <c r="F28" i="6" s="1"/>
  <c r="D35" i="1" s="1"/>
  <c r="I268" i="2"/>
  <c r="J266" i="2"/>
  <c r="I270" i="2"/>
  <c r="D20" i="1"/>
  <c r="E20" i="1" s="1"/>
  <c r="J230" i="2"/>
  <c r="J234" i="2" s="1"/>
  <c r="H234" i="2"/>
  <c r="G265" i="2"/>
  <c r="H265" i="2" s="1"/>
  <c r="F38" i="6"/>
  <c r="H129" i="7"/>
  <c r="C25" i="1"/>
  <c r="C30" i="1" s="1"/>
  <c r="C31" i="1" s="1"/>
  <c r="C33" i="1" s="1"/>
  <c r="B99" i="5"/>
  <c r="B22" i="6"/>
  <c r="D82" i="8"/>
  <c r="E82" i="8" s="1"/>
  <c r="B59" i="1"/>
  <c r="C39" i="6"/>
  <c r="F39" i="6" s="1"/>
  <c r="F37" i="6"/>
  <c r="J66" i="5"/>
  <c r="H76" i="5"/>
  <c r="H78" i="5" s="1"/>
  <c r="J78" i="5" s="1"/>
  <c r="H81" i="5"/>
  <c r="D31" i="6"/>
  <c r="D32" i="6" s="1"/>
  <c r="D34" i="6"/>
  <c r="J89" i="3"/>
  <c r="J108" i="3" s="1"/>
  <c r="H113" i="3"/>
  <c r="H108" i="3"/>
  <c r="H110" i="3" s="1"/>
  <c r="J110" i="3" s="1"/>
  <c r="J72" i="5"/>
  <c r="I76" i="5"/>
  <c r="I78" i="5" s="1"/>
  <c r="I81" i="5"/>
  <c r="E26" i="6" s="1"/>
  <c r="F26" i="6" s="1"/>
  <c r="H268" i="2" l="1"/>
  <c r="H270" i="2" s="1"/>
  <c r="J270" i="2" s="1"/>
  <c r="B12" i="2" s="1"/>
  <c r="J265" i="2"/>
  <c r="J268" i="2" s="1"/>
  <c r="H273" i="2"/>
  <c r="F27" i="6"/>
  <c r="B43" i="6" s="1"/>
  <c r="D25" i="1"/>
  <c r="E25" i="1" s="1"/>
  <c r="J79" i="4"/>
  <c r="J80" i="4" s="1"/>
  <c r="B21" i="1"/>
  <c r="D21" i="1" s="1"/>
  <c r="E21" i="1" s="1"/>
  <c r="D33" i="6"/>
  <c r="B62" i="1" s="1"/>
  <c r="B45" i="6"/>
  <c r="B60" i="1"/>
  <c r="B44" i="6"/>
  <c r="J76" i="5"/>
  <c r="E25" i="6"/>
  <c r="E29" i="6" s="1"/>
  <c r="E34" i="6" s="1"/>
  <c r="J81" i="5"/>
  <c r="J84" i="5" s="1"/>
  <c r="E40" i="6" s="1"/>
  <c r="J113" i="3"/>
  <c r="J116" i="3" s="1"/>
  <c r="C40" i="6" s="1"/>
  <c r="C25" i="6"/>
  <c r="D89" i="8"/>
  <c r="E89" i="8" s="1"/>
  <c r="C48" i="1"/>
  <c r="B101" i="5"/>
  <c r="B25" i="6" l="1"/>
  <c r="B29" i="6" s="1"/>
  <c r="J273" i="2"/>
  <c r="B48" i="6"/>
  <c r="C60" i="1"/>
  <c r="C29" i="6"/>
  <c r="F25" i="6"/>
  <c r="B47" i="6" s="1"/>
  <c r="B49" i="6" s="1"/>
  <c r="B46" i="1"/>
  <c r="D90" i="8"/>
  <c r="E90" i="8" s="1"/>
  <c r="B102" i="5"/>
  <c r="E31" i="6"/>
  <c r="E32" i="6" s="1"/>
  <c r="J276" i="2" l="1"/>
  <c r="B40" i="6" s="1"/>
  <c r="B13" i="2"/>
  <c r="B34" i="6"/>
  <c r="B31" i="6"/>
  <c r="B32" i="6" s="1"/>
  <c r="J86" i="5"/>
  <c r="J87" i="5" s="1"/>
  <c r="B22" i="1"/>
  <c r="D22" i="1" s="1"/>
  <c r="E22" i="1" s="1"/>
  <c r="E33" i="6"/>
  <c r="C62" i="1" s="1"/>
  <c r="B116" i="5"/>
  <c r="B115" i="5"/>
  <c r="B117" i="5" s="1"/>
  <c r="B50" i="1" s="1"/>
  <c r="D91" i="8"/>
  <c r="E91" i="8" s="1"/>
  <c r="B49" i="1"/>
  <c r="C31" i="6"/>
  <c r="F31" i="6" s="1"/>
  <c r="D34" i="1" s="1"/>
  <c r="C34" i="6"/>
  <c r="F29" i="6"/>
  <c r="B33" i="6"/>
  <c r="B61" i="1" s="1"/>
  <c r="J278" i="2"/>
  <c r="J279" i="2" s="1"/>
  <c r="B17" i="1"/>
  <c r="D17" i="1" l="1"/>
  <c r="C32" i="6"/>
  <c r="B19" i="1" l="1"/>
  <c r="C33" i="6"/>
  <c r="C61" i="1" s="1"/>
  <c r="J118" i="3"/>
  <c r="J119" i="3" s="1"/>
  <c r="F32" i="6"/>
  <c r="B46" i="6" s="1"/>
  <c r="B50" i="6" s="1"/>
  <c r="E17" i="1"/>
  <c r="D19" i="1" l="1"/>
  <c r="B30" i="1"/>
  <c r="B31" i="1" l="1"/>
  <c r="D31" i="1" s="1"/>
  <c r="E31" i="1" s="1"/>
  <c r="E19" i="1"/>
  <c r="D30" i="1"/>
  <c r="D33" i="1" l="1"/>
  <c r="D32" i="1"/>
  <c r="E32" i="1" s="1"/>
  <c r="E30" i="1"/>
  <c r="B33" i="1"/>
  <c r="E33" i="1" l="1"/>
  <c r="F26" i="1"/>
  <c r="F17" i="1"/>
  <c r="F29" i="1"/>
  <c r="F25" i="1"/>
  <c r="F19" i="1"/>
  <c r="F28" i="1"/>
  <c r="F31" i="1"/>
  <c r="D38" i="1"/>
  <c r="D37" i="1"/>
  <c r="F23" i="1"/>
  <c r="D36" i="1"/>
  <c r="F22" i="1"/>
  <c r="F18" i="1"/>
  <c r="F24" i="1"/>
  <c r="F27" i="1"/>
  <c r="F32" i="1"/>
  <c r="F33" i="1"/>
  <c r="F30" i="1"/>
  <c r="F20" i="1"/>
  <c r="F21" i="1"/>
</calcChain>
</file>

<file path=xl/sharedStrings.xml><?xml version="1.0" encoding="utf-8"?>
<sst xmlns="http://schemas.openxmlformats.org/spreadsheetml/2006/main" count="2544" uniqueCount="1411">
  <si>
    <t>Shower house estimate — a movable bathroom unit on a steel skid (cellular-concrete panels, cast roof and floor)</t>
  </si>
  <si>
    <t>Shower house — 1 bath, accessible, 12' x 14' outside, flat roof, on a painted steel skid · 14 exterior panels 4' × 8' on 600S162-54 studs + 2 interior partition panels · roof strips on 600S162-54 · floor panel on a HSS 6x4x1/4 skid · generated 2026-09-12</t>
  </si>
  <si>
    <t>Walls →</t>
  </si>
  <si>
    <t>Roof →</t>
  </si>
  <si>
    <t>Floor panel →</t>
  </si>
  <si>
    <t>Skid →</t>
  </si>
  <si>
    <t>Manufacturing →</t>
  </si>
  <si>
    <t>Fixtures →</t>
  </si>
  <si>
    <t>Model takeoff →</t>
  </si>
  <si>
    <t>Choices — pick from the lists (yellow); the whole workbook follows</t>
  </si>
  <si>
    <t>Shower finish</t>
  </si>
  <si>
    <t>tile</t>
  </si>
  <si>
    <t>tile = waterproofing membrane + porcelain tile on the cast shower walls and base · spray = spray-in-place plastic coating (polyurea / polyaspartic) on the primed cast surface (Fixtures and finishes, Finishes)</t>
  </si>
  <si>
    <t>Skid finish</t>
  </si>
  <si>
    <t>painted</t>
  </si>
  <si>
    <t>painted = shop primer + industrial enamel · galvanized = hot-dip galvanizing, outsourced (Skid tab)</t>
  </si>
  <si>
    <t>Roof design</t>
  </si>
  <si>
    <t>flat</t>
  </si>
  <si>
    <t>flat = every wall 96", the drainage slope in the top pour · shed = wall A raised 1"/ft over the width, the strips on the slope, rake infill (Roof tab)</t>
  </si>
  <si>
    <t>Contingency (one % on the builder's costs)</t>
  </si>
  <si>
    <t>applied once, to the subtotal LESS the four sell-price rows (wall panels, roof panels, floor panel, skid); the plant prices its products without it</t>
  </si>
  <si>
    <t>Builder overhead and profit</t>
  </si>
  <si>
    <t>general-contractor markup on everything above (subtotal + contingency); 15 % by default (the engine's DEFAULT_SPEC.builderOpPct; Ken, 12 Sep 2026); change it here</t>
  </si>
  <si>
    <t>Bathrooms</t>
  </si>
  <si>
    <t>1 in the 1 bath, accessible 12 × 14 unit (accessible); drives the partitions, cast-ins and per-room fixtures. NOTE: the doors, windows and plumbing panels on the Walls tab are the plan's for THIS unit — a different room count needs the configurator's plan, not just this cell</t>
  </si>
  <si>
    <t xml:space="preserve">   of which accessible</t>
  </si>
  <si>
    <t>60" turning circle, roll-in shower, grab bars, 36" door; drives the Accessibility section</t>
  </si>
  <si>
    <t>The wall heater (yes / no), the delivery distance and the exterior lights are set on the Fixtures and finishes tab.</t>
  </si>
  <si>
    <t>Cost by section (the four plant products at their SELL PRICE from the Manufacturing tab; everything else at builder cost before contingency; green = linked)</t>
  </si>
  <si>
    <t>Section</t>
  </si>
  <si>
    <t>Materials</t>
  </si>
  <si>
    <t>Labor</t>
  </si>
  <si>
    <t>Total</t>
  </si>
  <si>
    <t>$/sf inside</t>
  </si>
  <si>
    <t>% of total</t>
  </si>
  <si>
    <t>Basis</t>
  </si>
  <si>
    <t>Wall panels, manufactured — sell price</t>
  </si>
  <si>
    <t>Manufacturing tab: the Walls Plant lines (exterior + interior partition panels) + overhead allocation + margin; the whole price sits in Materials</t>
  </si>
  <si>
    <t>Walls, site work (yard assembly on the skid)</t>
  </si>
  <si>
    <t>Walls Site lines: top track, joint + cladding screws, floor anchors, cavity fill, MEP allowance; set, anchor + screw, wire and plumb, hang the cladding, pump, set the partitions</t>
  </si>
  <si>
    <t>Manufacturing tab: the Roof Plant lines (studs, track, channel, screws, spacers, inserts, mesh, ground pour, ground form; framing, mesh, ground-pour labor) + overhead + margin</t>
  </si>
  <si>
    <t>Roof Site lines: top pour, rake infill (shed), crane day, Eco Finish; top-pour and pick-day labor</t>
  </si>
  <si>
    <t>Floor panel on the skid, manufactured — sell price</t>
  </si>
  <si>
    <t>Manufacturing tab: every Floor panel line is plant work (the panel, the cast-ins, the fasteners, the set on the skid) + overhead + margin</t>
  </si>
  <si>
    <t>Manufacturing tab: steel by weight, lugs, tie-downs, welding, paint or galvanizing, fabrication hours + overhead + margin</t>
  </si>
  <si>
    <t>Plumbing</t>
  </si>
  <si>
    <t>per room: valve, toilet, lav, drain body, rough-in; per unit: tankless heater, hose bib, shut-off, freeze protection</t>
  </si>
  <si>
    <t>Electrical</t>
  </si>
  <si>
    <t>100 A panel, circuits, GFCIs, fans, lights, exterior lights at every door, wall heaters (yes / no on the Fixtures tab)</t>
  </si>
  <si>
    <t>Finishes</t>
  </si>
  <si>
    <t>shower base finish, tile OR spray coating per the selector, epoxy paint, ceiling, floor coating, accessories; exterior colour options at $0</t>
  </si>
  <si>
    <t>Accessibility</t>
  </si>
  <si>
    <t>grab bars, seat, hand shower, ADA lav, lever hardware, signage — per accessible room</t>
  </si>
  <si>
    <t>Doors and windows</t>
  </si>
  <si>
    <t>exterior doors with closers, the high windows, jamb wraps; door style upcharge at $0</t>
  </si>
  <si>
    <t>Delivery and set</t>
  </si>
  <si>
    <t>truck by the mile, permit (when the transport class needs one), loading, site crane day, tie-downs, gravel pad, utility hookups</t>
  </si>
  <si>
    <t>Soft costs</t>
  </si>
  <si>
    <t>PE letter, permits / plan review, transit insurance</t>
  </si>
  <si>
    <t>Subtotal, materials + labor</t>
  </si>
  <si>
    <t>Contingency (on the subtotal less the four sell-price rows)</t>
  </si>
  <si>
    <t>the one % at the top of this tab × the builder's own costs (yard assembly, fixtures, delivery, soft costs); none on the four plant products — the plant prices them</t>
  </si>
  <si>
    <t>Builder overhead and profit on the whole unit</t>
  </si>
  <si>
    <t>the yellow % at the top of this tab on the subtotal + contingency</t>
  </si>
  <si>
    <t>GRAND TOTAL</t>
  </si>
  <si>
    <t>materials + labor columns are cost with contingency (the products at their sell price); the Total adds builder O&amp;P</t>
  </si>
  <si>
    <t xml:space="preserve">   of which manufacturing profit (walls + roof + floor panel + skid)</t>
  </si>
  <si>
    <t>inside the four sell-price rows: plant cost × the margin on the Manufacturing tab</t>
  </si>
  <si>
    <t xml:space="preserve">   of which plant overhead recovered</t>
  </si>
  <si>
    <t>inside the four sell-price rows: plant hours × the overhead rate</t>
  </si>
  <si>
    <t xml:space="preserve">   price per inside sf</t>
  </si>
  <si>
    <t>grand total ÷ the inside floor area (Walls tab)</t>
  </si>
  <si>
    <t xml:space="preserve">   price per bathroom</t>
  </si>
  <si>
    <t>grand total ÷ the rooms</t>
  </si>
  <si>
    <t xml:space="preserve">   price per exterior wall panel</t>
  </si>
  <si>
    <t>grand total ÷ the exterior panels</t>
  </si>
  <si>
    <t>Inside floor area</t>
  </si>
  <si>
    <t>Walls tab: (length − 23") × (width − 23") — the $/sf column divides by it</t>
  </si>
  <si>
    <t>Transport and pick (Skid tab — the unit rides on the trailer lengthwise; green = linked)</t>
  </si>
  <si>
    <t>Width over the roof (= over the walls)</t>
  </si>
  <si>
    <t>Ken's ceiling 168" = 14', roof edge included; the check in column C</t>
  </si>
  <si>
    <t>Length over the roof</t>
  </si>
  <si>
    <t>wall run + the two 6" end overhangs</t>
  </si>
  <si>
    <t>Height on a trailer</t>
  </si>
  <si>
    <t>deck + skid + walls + roof stack; skid bottom to roof top in column C</t>
  </si>
  <si>
    <t>Permit class</t>
  </si>
  <si>
    <t>none / permit / pilot</t>
  </si>
  <si>
    <t>Unit weight</t>
  </si>
  <si>
    <t>panels + roof + floor panel + skid + fixtures allowance (by part on the Skid tab)</t>
  </si>
  <si>
    <t xml:space="preserve">   wall panels / roof</t>
  </si>
  <si>
    <t xml:space="preserve">   floor panel / skid</t>
  </si>
  <si>
    <t>Pick weight (with rigging)</t>
  </si>
  <si>
    <t>the whole unit is one crane pick</t>
  </si>
  <si>
    <t>Crane pick</t>
  </si>
  <si>
    <t>Key quantities (green = linked)</t>
  </si>
  <si>
    <t>Outside length × width</t>
  </si>
  <si>
    <t>over the cladding; inside = each less 23"</t>
  </si>
  <si>
    <t>Exterior panels / interior partition panels</t>
  </si>
  <si>
    <t>A 4 + B 3 + C 4 + D 3; the B / D runs end on a 25" cut end panel</t>
  </si>
  <si>
    <t>Wall A height (per the design)</t>
  </si>
  <si>
    <t>flat 96"; shed 96" + width × 1"/ft; walls B, C, D are 96"</t>
  </si>
  <si>
    <t>Wall area, gross / net of openings</t>
  </si>
  <si>
    <t>2 doors, 1 windows out of the net figure</t>
  </si>
  <si>
    <t>Cellular concrete: walls / roof / floor panel (neat)</t>
  </si>
  <si>
    <t>walls: skin pour + cladding + cavity fill; roof: both pours (+ rake); floor: the ground pour</t>
  </si>
  <si>
    <t>Roof area / strips</t>
  </si>
  <si>
    <t>on the slope; strips in column C</t>
  </si>
  <si>
    <t>Skid steel / weld / surface</t>
  </si>
  <si>
    <t>runners + cross members + pockets + lugs; weld ft in column C, surface sf in column D</t>
  </si>
  <si>
    <t>Plant hours per unit / units per month</t>
  </si>
  <si>
    <t>Manufacturing tab: walls + roof + floor panel + skid; the capacity view</t>
  </si>
  <si>
    <t>Sell price per exterior panel / per roof sf</t>
  </si>
  <si>
    <t>Manufacturing tab: what the plant charges, before the yard work</t>
  </si>
  <si>
    <t>Sell price per floor sf / per lb of skid</t>
  </si>
  <si>
    <t>Basis and exclusions</t>
  </si>
  <si>
    <t>Basis: cellular concrete at Ken's $200/yd³ cement + $20/yd³ foam (600 lb Portland/yd³, roof v6 sheet) for the walls, the roof and the floor panel; wall steel at the US Frame Factory published list (May 2025); the roof studs carried at the engine's $2.42/lf 68-mil proxy although the 600S162-54 lists at $1.94 (open item). Every other price — the skid steel $/lb, lugs, welding, paint, galvanizing, every fixture, finish, delivery and soft-cost line, every labor hour and the $35/mh loaded rate — is a placeholder typed on 2026-09-12 for order-of-magnitude only; none is a quote.</t>
  </si>
  <si>
    <t>Selectors: Shower finish (tile / spray) switches the shower wall and base lines on the Fixtures tab. Skid finish (painted / galvanized) switches the paint lines on the Skid tab. Roof design (flat / shed) switches the wall A height, the slope, the rake infill and the roof quantities through the Roof tab, and the transport height. Contingency is applied once, here, to the builder's costs only. Manufacturing model: the wall panels (exterior + interior partitions), the roof panels, the floor panel and the steel skid are bought at the plant SELL PRICE (Manufacturing tab: plant lines + overhead by plant hours + margin, placeholders in yellow); the yard assembly of the walls and roof is the builder's.</t>
  </si>
  <si>
    <t>Width rule (Ken, 9 Sep 2026): the unit's total width, roof edge included, never exceeds 14'. The width here is the OUTSIDE width over the cladding (12' = a 121" B / D run of 48 + 48 + a 25" cut end panel between two 11.5" walls = 144"); the roof carries no overhang past the long walls, so the width over the roof is the wall width. 10' / 12' / 14' outside = 119 / 144 / 167" built — every one an oversize permit, none a pilot car. Roof studs 600S162-54 (6" web) in the wall's 11.5" stack for the 10–12' span — PE to confirm.</t>
  </si>
  <si>
    <t>Excluded: the park's utility runs to the unit, septic, a concrete pad or piers (a gravel pad allowance is carried), sales tax, financing, the pump rental. The exterior colour, roof colour and door style are $0 lines until chosen.</t>
  </si>
  <si>
    <t>Green numbers link to the tabs; change inputs and prices there. Blue = inputs, yellow = prices / assumptions / selectors, black = formulas.</t>
  </si>
  <si>
    <t>Walls — cellular-concrete wall panels of the shower house: inputs, quantities and cost</t>
  </si>
  <si>
    <t>Shower house — 1 bath, accessible, 12' x 14' outside, flat roof, on a painted steel skid · 14 exterior panels 96" tall on 600S162-54 studs, cast flat, stood on the floor panel, screwed, pumped full; the B / D runs end on a 25" cut end panel (same bed, a movable end board) · wall A height follows the Summary roof selector through the Roof tab · the cast interior partition panels join the plant lines · generated 2026-09-12</t>
  </si>
  <si>
    <t>BLUE = building/panel/mix inputs (they mirror products.showerhouse in wall.config.json); YELLOW = unit prices and assumptions — replace with quotes; GREEN = linked from another tab; everything else is a formula. Side column: Plant = cast in the bed (the product the Manufacturing tab sells), Site = the yard assembly on the skid (builder cost with contingency).</t>
  </si>
  <si>
    <t>← Summary</t>
  </si>
  <si>
    <t>Key figures (walls)</t>
  </si>
  <si>
    <t>A + B + C + D (the cut end panels counted); partition panels in column C</t>
  </si>
  <si>
    <t>over the cladding; width in column C</t>
  </si>
  <si>
    <t>the 4 door-wall panels; the others are the panel height</t>
  </si>
  <si>
    <t>Wall area, gross / net</t>
  </si>
  <si>
    <t>net of doors and windows in column C</t>
  </si>
  <si>
    <t>Cellular concrete, walls, neat / to order</t>
  </si>
  <si>
    <t>skin pour + cladding + cavity fill; to order with waste in column C</t>
  </si>
  <si>
    <t>Stud pieces (walls)</t>
  </si>
  <si>
    <t>full studs + jambs + cripples</t>
  </si>
  <si>
    <t>Walls total (materials + labor, before contingency)</t>
  </si>
  <si>
    <t>concrete at Ken's $/yd³; steel at list; other prices and all labor are placeholders</t>
  </si>
  <si>
    <t>of which plant lines / yard lines</t>
  </si>
  <si>
    <t>Side column of the cost table: Plant = the product (priced on the Manufacturing tab), Site = the yard assembly</t>
  </si>
  <si>
    <t>Building &amp; panel inputs (from wall.config.json products.showerhouse)</t>
  </si>
  <si>
    <t>Panels along X (walls A and C, each) — the unit LENGTH</t>
  </si>
  <si>
    <t>ea</t>
  </si>
  <si>
    <t>wall A (the door wall) runs along +X; 14' outside = the A / C panel run</t>
  </si>
  <si>
    <t>Panels along Z (walls B and D, each) — across the WIDTH, incl. the cut panel</t>
  </si>
  <si>
    <t>12' OUTSIDE over the cladding = the B / D run + 2 wall thicknesses; the count includes the cut end panel</t>
  </si>
  <si>
    <t>Panel width</t>
  </si>
  <si>
    <t>in</t>
  </si>
  <si>
    <t>4'</t>
  </si>
  <si>
    <t>Panel height (walls B, C, D)</t>
  </si>
  <si>
    <t>8' panels for the shower house (config panel.height 96); studs run this way</t>
  </si>
  <si>
    <t>Wall A height (per the roof design)</t>
  </si>
  <si>
    <t>linked to the Roof tab: the panel height for the flat roof; panel height + depth x slope (rounded to the inch) for the shed</t>
  </si>
  <si>
    <t>Cut end panel width, walls A and C (0 = none)</t>
  </si>
  <si>
    <t>the LAST panel of walls A and C is cast this wide when the length is not a multiple of 4' (10, 14, 18, 22); 0 = every A / C panel is full width</t>
  </si>
  <si>
    <t>Cut end panel width, walls B and D (0 = none)</t>
  </si>
  <si>
    <t>12' outside = 144 − 23 = 121" run = 2 x 48 + this cut panel (&gt;= 12"); the width table in docs/showerhouse.md</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</si>
  <si>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</si>
  <si>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</si>
  <si>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</si>
  <si>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</si>
  <si>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</si>
  <si>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</si>
  <si>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</si>
  <si>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</si>
  <si>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</si>
  <si>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</si>
  <si>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</si>
  <si>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</si>
  <si>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</si>
  <si>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</si>
  <si>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</si>
  <si>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</si>
  <si>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</si>
  <si>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</si>
  <si>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</si>
  <si>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</si>
  <si>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</si>
  <si>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</si>
  <si>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</si>
  <si>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</si>
  <si>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</si>
  <si>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Floor anchors per panel (through the bottom track into the floor panel)</t>
  </si>
  <si>
    <t>0.5" dia.; the engine keeps the house's slab-anchor line and rate for the panel-to-floor connection; spec is an open item (PE)</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</si>
  <si>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</si>
  <si>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</si>
  <si>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</si>
  <si>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</si>
  <si>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</si>
  <si>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</si>
  <si>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[0] behind the rooms; drain to the top (or the sill of a window over it), supplies to 40 % of the height</t>
  </si>
  <si>
    <t>Bed slots (panels per casting cycle)</t>
  </si>
  <si>
    <t>one reusable bed, slots sized for the tallest panel; the cut panel uses a movable end board</t>
  </si>
  <si>
    <t>Bathrooms (Summary)</t>
  </si>
  <si>
    <t>rooms</t>
  </si>
  <si>
    <t>Summary tab; one demising partition per room beyond the first</t>
  </si>
  <si>
    <t>Mechanical closet partition run</t>
  </si>
  <si>
    <t>the 3 x 4 closet's two interior walls ≈ 84" of cast partition (the engine's fixed 84)</t>
  </si>
  <si>
    <t>Openings (from the plan: one outside door per room + the closet door on wall A, a small window per room high on wall C; door/window centred in the panel width)</t>
  </si>
  <si>
    <t>Door panels: count</t>
  </si>
  <si>
    <t>door 36x84 at panels A1 (HA tall)</t>
  </si>
  <si>
    <t xml:space="preserve">   door width</t>
  </si>
  <si>
    <t xml:space="preserve">   door height</t>
  </si>
  <si>
    <t xml:space="preserve">   door sill height</t>
  </si>
  <si>
    <t>0 for a door (no sill piece, no cripples below)</t>
  </si>
  <si>
    <t>door 32x84 at panels B0 (H tall)</t>
  </si>
  <si>
    <t>Window panels: count</t>
  </si>
  <si>
    <t>window 24x24 sill 60 at panels C2 (H tall)</t>
  </si>
  <si>
    <t xml:space="preserve">   window width</t>
  </si>
  <si>
    <t xml:space="preserve">   window height</t>
  </si>
  <si>
    <t xml:space="preserve">   window sill height</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</si>
  <si>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</si>
  <si>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</si>
  <si>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</si>
  <si>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</si>
  <si>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</si>
  <si>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</si>
  <si>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</si>
  <si>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</si>
  <si>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</si>
  <si>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</si>
  <si>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</si>
  <si>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</si>
  <si>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</si>
  <si>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</si>
  <si>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</si>
  <si>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</si>
  <si>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</si>
  <si>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</si>
  <si>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</si>
  <si>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</si>
  <si>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</si>
  <si>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laps between sheets + cut waste on both layers (walls, roof and floor panel link to it) — placeholder</t>
  </si>
  <si>
    <t>Mesh roll coverage</t>
  </si>
  <si>
    <t>sf/roll</t>
  </si>
  <si>
    <t>e.g. 3.3' × 164' roll; change to your supplier's roll</t>
  </si>
  <si>
    <t>Steel cut waste (track, channel, cripples)</t>
  </si>
  <si>
    <t>offcuts when 4' pieces and short cripples come out of stock sticks</t>
  </si>
  <si>
    <t>Contingency (one % for the builder's costs)</t>
  </si>
  <si>
    <t>linked to the Summary — change it there</t>
  </si>
  <si>
    <t>Labor assumptions (placeholders — set your crew rate and productivity)</t>
  </si>
  <si>
    <t>Loaded labor rate</t>
  </si>
  <si>
    <t>$/man-hour</t>
  </si>
  <si>
    <t>wages + burden; one rate for every labor line in the workbook (walls, roof, floor panel, skid, fixtures)</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</si>
  <si>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</si>
  <si>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</si>
  <si>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</si>
  <si>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</si>
  <si>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</si>
  <si>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</si>
  <si>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</si>
  <si>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</si>
  <si>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</si>
  <si>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</si>
  <si>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</si>
  <si>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</si>
  <si>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</si>
  <si>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</si>
  <si>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the yard forklift on the floor panel</t>
  </si>
  <si>
    <t>Floor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</si>
  <si>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</si>
  <si>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</si>
  <si>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</si>
  <si>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</si>
  <si>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</si>
  <si>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incl. the cut end panels; see the Model takeoff tab)</t>
  </si>
  <si>
    <t>Panels (exterior)</t>
  </si>
  <si>
    <t>A + B + C + D, the cut end panels counted</t>
  </si>
  <si>
    <t>Walls A / C end on a cut panel (1/0)</t>
  </si>
  <si>
    <t>Walls B / D end on a cut panel (1/0)</t>
  </si>
  <si>
    <t>Cut panels at HA (wall A)</t>
  </si>
  <si>
    <t>Cut panels at H, A/C kind (wall C)</t>
  </si>
  <si>
    <t>Cut panels at H, B/D kind (walls B and D)</t>
  </si>
  <si>
    <t>Panels at HA (wall A)</t>
  </si>
  <si>
    <t>Panels at H (walls B, C, D)</t>
  </si>
  <si>
    <t>Panels with an opening at HA</t>
  </si>
  <si>
    <t>Panels with an opening at H</t>
  </si>
  <si>
    <t>Solid full-width panels at HA</t>
  </si>
  <si>
    <t>no opening, not cut</t>
  </si>
  <si>
    <t>Solid full-width panels at H</t>
  </si>
  <si>
    <t>Solid full-width panels</t>
  </si>
  <si>
    <t>Tallest panel</t>
  </si>
  <si>
    <t>sizes the bed slot (liner, edge forms)</t>
  </si>
  <si>
    <t>Wall thickness</t>
  </si>
  <si>
    <t>contract: 2 + 1.5 + 6 + 2 = 11.5</t>
  </si>
  <si>
    <t>Cavity fill depth</t>
  </si>
  <si>
    <t>stud zone left after the skin pour</t>
  </si>
  <si>
    <t>Panel run, walls A and C (each) = the outside length</t>
  </si>
  <si>
    <t>full panels × width + the cut panel</t>
  </si>
  <si>
    <t>Panel run, walls B and D (each) = the inside width</t>
  </si>
  <si>
    <t>full panels × width + the cut panel; the outside width is this + 2 wall thicknesses</t>
  </si>
  <si>
    <t>Footprint X (outside length)</t>
  </si>
  <si>
    <t>Footprint Z (outside width over the cladding)</t>
  </si>
  <si>
    <t>B/D panels fit between A and C; Ken's ceiling: the width over the roof never exceeds 168" (Skid tab, Transport)</t>
  </si>
  <si>
    <t>sf</t>
  </si>
  <si>
    <t>the scale driver "sf" of the Fixtures tab and the $/sf of the Summary</t>
  </si>
  <si>
    <t>Perimeter (top track; the "perimeter" scale driver)</t>
  </si>
  <si>
    <t>lf</t>
  </si>
  <si>
    <t>outer footprint</t>
  </si>
  <si>
    <t>Panel face area (standard panel)</t>
  </si>
  <si>
    <t>Bed slot area (tallest panel)</t>
  </si>
  <si>
    <t>Gross wall area</t>
  </si>
  <si>
    <t>wall A run × HA + (C + B + D runs) × H — every panel at its own width</t>
  </si>
  <si>
    <t>Opening area (doors, windows)</t>
  </si>
  <si>
    <t>Net wall area (concrete, mesh; the "netWallSf" scale driver)</t>
  </si>
  <si>
    <t>Regular studs per full panel (at 0, spacing, 2×spacing …)</t>
  </si>
  <si>
    <t>last regular stud must sit inside the far edge by a flange</t>
  </si>
  <si>
    <t>Studs per solid full panel</t>
  </si>
  <si>
    <t>regular studs plus the closing edge stud (matches the model)</t>
  </si>
  <si>
    <t>Studs per cut panel, A/C kind</t>
  </si>
  <si>
    <t>the same rule on the cut width (studPositions in src/geometry/layout.js)</t>
  </si>
  <si>
    <t>Studs per cut panel, B/D kind</t>
  </si>
  <si>
    <t>25": studs at 0 and 16 plus the closing stud = 3</t>
  </si>
  <si>
    <t>Channel rows per panel at HA</t>
  </si>
  <si>
    <t>rows from the first station at row spacing, plus a closing row at the far end (matches the model)</t>
  </si>
  <si>
    <t>Channel rows per panel at H</t>
  </si>
  <si>
    <t>door 36x84 panels (HA tall, 1 of them at A1)</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</si>
  <si>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</si>
  <si>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</si>
  <si>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</si>
  <si>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</si>
  <si>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</si>
  <si>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</si>
  <si>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</si>
  <si>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</si>
  <si>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</si>
  <si>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cripples per panel</t>
  </si>
  <si>
    <t xml:space="preserve">   cripple length per panel</t>
  </si>
  <si>
    <t>lf/panel</t>
  </si>
  <si>
    <t>below the sill + above the head</t>
  </si>
  <si>
    <t xml:space="preserve">   jamb studs per panel</t>
  </si>
  <si>
    <t xml:space="preserve">   header/sill pieces per panel</t>
  </si>
  <si>
    <t xml:space="preserve">   header/sill length per panel</t>
  </si>
  <si>
    <t>jamb to jamb</t>
  </si>
  <si>
    <t xml:space="preserve">   channel/stud crossings per panel</t>
  </si>
  <si>
    <t>full studs + 2 jambs on every row; cripples only on rows outside the opening</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</si>
  <si>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</si>
  <si>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</si>
  <si>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</si>
  <si>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</si>
  <si>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</si>
  <si>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door 32x84 panels (H tall, 1 of them at B0)</t>
  </si>
  <si>
    <t>window 24x24 sill 60 panels (H tall, 1 of them at C2)</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</si>
  <si>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</si>
  <si>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</si>
  <si>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</si>
  <si>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</si>
  <si>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</si>
  <si>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Full-height studs</t>
  </si>
  <si>
    <t>solid panels × studs + cut panels × their studs + opening panels × uninterrupted studs</t>
  </si>
  <si>
    <t>Jamb studs (full height)</t>
  </si>
  <si>
    <t>Cripple studs</t>
  </si>
  <si>
    <t>Cripple length</t>
  </si>
  <si>
    <t>Stud pieces</t>
  </si>
  <si>
    <t>Full-height stud + jamb pieces at HA</t>
  </si>
  <si>
    <t>cut to HA</t>
  </si>
  <si>
    <t>Full-height stud + jamb pieces at H</t>
  </si>
  <si>
    <t>cut to H</t>
  </si>
  <si>
    <t>Full-height stud + jamb length</t>
  </si>
  <si>
    <t>pieces at each height × that height</t>
  </si>
  <si>
    <t>Stud total length</t>
  </si>
  <si>
    <t>Header/sill pieces</t>
  </si>
  <si>
    <t>Header/sill length</t>
  </si>
  <si>
    <t>Panel track (bottom + top)</t>
  </si>
  <si>
    <t>2 pieces per panel at its own width = 2 × the four runs</t>
  </si>
  <si>
    <t>Track total (panel + header/sill + top track)</t>
  </si>
  <si>
    <t>Channel length (less openings)</t>
  </si>
  <si>
    <t>rows × width per panel (the cut panels at their width) less the opening spans</t>
  </si>
  <si>
    <t>Channel/stud crossings (= spacers)</t>
  </si>
  <si>
    <t>Stud segments (ends screwed to track)</t>
  </si>
  <si>
    <t>Door panels (the "doors" scale driver: one per room + the closet)</t>
  </si>
  <si>
    <t>Window panels (the "windows" scale driver)</t>
  </si>
  <si>
    <t>Openings (doors + windows)</t>
  </si>
  <si>
    <t>MEP boxes (outlets + switches)</t>
  </si>
  <si>
    <t>Conduit</t>
  </si>
  <si>
    <t>solid and cut panels: box to the top; opening panels: per the group conduit line</t>
  </si>
  <si>
    <t>Drain / vent</t>
  </si>
  <si>
    <t>1 plumbing panel(s) on wall C: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</si>
  <si>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</si>
  <si>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</si>
  <si>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</si>
  <si>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</si>
  <si>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</si>
  <si>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</si>
  <si>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</si>
  <si>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</si>
  <si>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</si>
  <si>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</si>
  <si>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</si>
  <si>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</si>
  <si>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</si>
  <si>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</si>
  <si>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</si>
  <si>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yard forklift</t>
  </si>
  <si>
    <t>Bed liner</t>
  </si>
  <si>
    <t>slots × slot area (no lap)</t>
  </si>
  <si>
    <t>Bed edge form</t>
  </si>
  <si>
    <t>around each slot</t>
  </si>
  <si>
    <t>Casting cycles</t>
  </si>
  <si>
    <t>cycles</t>
  </si>
  <si>
    <t>exterior panels ÷ bed slots</t>
  </si>
  <si>
    <t>Inside width (the B / D run)</t>
  </si>
  <si>
    <t>a demising partition spans it</t>
  </si>
  <si>
    <t>Panels per demising partition</t>
  </si>
  <si>
    <t>inside width ÷ panel width, rounded up</t>
  </si>
  <si>
    <t>Closet partition panels</t>
  </si>
  <si>
    <t>Interior partition panels (cast with the exterior panels)</t>
  </si>
  <si>
    <t>(rooms − 1) demising walls + the closet; the engine's interiorPanels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</si>
  <si>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</si>
  <si>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</si>
  <si>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</si>
  <si>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</si>
  <si>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</si>
  <si>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</si>
  <si>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</si>
  <si>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</si>
  <si>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</si>
  <si>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</si>
  <si>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</si>
  <si>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</si>
  <si>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</si>
  <si>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</si>
  <si>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</si>
  <si>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</si>
  <si>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the panel height</t>
  </si>
  <si>
    <t>$1.94/lf 600S162-54 — US Frame Factory published list, updated 5/1/2025 (usframefactory.com/current-metal-stud-pricing) — not a quote; = pieces × panel height per wall (46 studs + 6 jambs in the model)</t>
  </si>
  <si>
    <t>Studs 600S162-54, cripples</t>
  </si>
  <si>
    <t>short pieces above the door heads and above / below the window, cut from stock</t>
  </si>
  <si>
    <t>same rate; cripple lf × (1 + cut waste) (8 pcs, 16 lf in the model)</t>
  </si>
  <si>
    <t>Track 600T125-54, panel bottom + top</t>
  </si>
  <si>
    <t>6" web, 1.25" leg, 54 mil; 2 × the panel width per panel (the cut panels at their width)</t>
  </si>
  <si>
    <t>600T125-54 was not listed; carried at the 600T200-54 rate $1.94/lf — US Frame Factory published list, updated 5/1/2025 (usframefactory.com/current-metal-stud-pricing) — not a quote; lf × (1 + cut waste)</t>
  </si>
  <si>
    <t>Track 600T125-54, headers + sills</t>
  </si>
  <si>
    <t>jamb to jamb at each door and window</t>
  </si>
  <si>
    <t>same track rate; 4 pieces in the model</t>
  </si>
  <si>
    <t>Top track 600T125-54, continuous</t>
  </si>
  <si>
    <t>Site</t>
  </si>
  <si>
    <t>ties the wall tops for the roof; outer footprint perimeter</t>
  </si>
  <si>
    <t>same track rate; 52.0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</si>
  <si>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</si>
  <si>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</si>
  <si>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</si>
  <si>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</si>
  <si>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</si>
  <si>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</si>
  <si>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</si>
  <si>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</si>
  <si>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</si>
  <si>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</si>
  <si>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</si>
  <si>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</si>
  <si>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</si>
  <si>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</si>
  <si>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</si>
  <si>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Floor anchors (panel to floor panel)</t>
  </si>
  <si>
    <t>0.5" anchor through the bottom track into the cast floor (PE to spec)</t>
  </si>
  <si>
    <t>placeholder price — replace with a quote; panels × anchors per panel; the engine carries this as its "Slab anchors" line at the same rate</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</si>
  <si>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</si>
  <si>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</si>
  <si>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</si>
  <si>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</si>
  <si>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</si>
  <si>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</si>
  <si>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</si>
  <si>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</si>
  <si>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</si>
  <si>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</si>
  <si>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</si>
  <si>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</si>
  <si>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</si>
  <si>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</si>
  <si>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</si>
  <si>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</si>
  <si>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</si>
  <si>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</si>
  <si>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</si>
  <si>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</si>
  <si>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</si>
  <si>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</si>
  <si>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</si>
  <si>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</si>
  <si>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</si>
  <si>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</si>
  <si>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</si>
  <si>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hand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</si>
  <si>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</si>
  <si>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</si>
  <si>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</si>
  <si>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</si>
  <si>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</si>
  <si>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</si>
  <si>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</si>
  <si>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</si>
  <si>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</si>
  <si>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</si>
  <si>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</si>
  <si>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</si>
  <si>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</si>
  <si>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</si>
  <si>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4 casting cycles</t>
  </si>
  <si>
    <t>Edge form lumber</t>
  </si>
  <si>
    <t>2×8 (8" tall) around each slot, reused every cycle; a movable end board casts the cut end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</si>
  <si>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</si>
  <si>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</si>
  <si>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</si>
  <si>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</si>
  <si>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</si>
  <si>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Fixtures tab (Electrical)</t>
  </si>
  <si>
    <t>Conduit 0.75"</t>
  </si>
  <si>
    <t>box to the top of the panel (top track), or to the sill of the opening above the box</t>
  </si>
  <si>
    <t>placeholder price — replace with a quote; wire and fittings not included</t>
  </si>
  <si>
    <t>Drain / vent 2"</t>
  </si>
  <si>
    <t>in the 1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</si>
  <si>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</si>
  <si>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</si>
  <si>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</si>
  <si>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</si>
  <si>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</si>
  <si>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</si>
  <si>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</si>
  <si>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</si>
  <si>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</si>
  <si>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</si>
  <si>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</si>
  <si>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</si>
  <si>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</si>
  <si>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the yard forklift</t>
  </si>
  <si>
    <t>Wire and plumb (rough-in)</t>
  </si>
  <si>
    <t>hours × loaded rate; licensed trades may price this separately</t>
  </si>
  <si>
    <t>Hang the cladding</t>
  </si>
  <si>
    <t>hours × loaded rate; pump rental NOT included</t>
  </si>
  <si>
    <t>Labor subtotal</t>
  </si>
  <si>
    <t>INTERIOR PARTITION PANELS (the demising wall and the closet walls, cast in the same bed; priced at this unit's average plant material and plant hours per exterior panel)</t>
  </si>
  <si>
    <t>Cast interior partition panels</t>
  </si>
  <si>
    <t>panels</t>
  </si>
  <si>
    <t>4' × 8' cast panels, no cladding sheet; the demising wall(s) across the width + the closet's two walls</t>
  </si>
  <si>
    <t>unit cost = Σ plant material of the exterior lines above ÷ exterior panels (steel, mesh, concrete, form) — the engine's interiorPanelLines</t>
  </si>
  <si>
    <t>Labor: cast the interior partition panels</t>
  </si>
  <si>
    <t>panels × the average plant hours per exterior panel (framing, mesh, pours; the one-time bed setup excluded)</t>
  </si>
  <si>
    <t>Labor: set and fasten the interior partition panels (yard)</t>
  </si>
  <si>
    <t>panels × (set + screw) man-hours per panel, in the yard on the floor panel</t>
  </si>
  <si>
    <t>Partitions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</si>
  <si>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</si>
  <si>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</si>
  <si>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</si>
  <si>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</si>
  <si>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</si>
  <si>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</si>
  <si>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</si>
  <si>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</si>
  <si>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</si>
  <si>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unit buys them: panel sell price (Manufacturing tab) + yard work with the Summary contingency</t>
  </si>
  <si>
    <t>no contingency on the sell price (the plant's waste factors are in its lines); the yard assembly carries it</t>
  </si>
  <si>
    <t>Cost per exterior panel, as bought (sell price + yard work with contingency)</t>
  </si>
  <si>
    <t>This tab: the wall panels only (exterior + interior partitions). The roof is on the Roof tab, the floor panel and the skid on their tabs, the plant overhead, margin and sell prices on the Manufacturing tab, the fixtures / finishes / delivery / soft costs on Fixtures and finishes; the Summary adds them up. Labor hours and the rate are placeholders.</t>
  </si>
  <si>
    <t>Prices are placeholders typed in by Claude on 2026-09-12 for order-of-magnitude only; none is a quote. Replace every yellow price cell.</t>
  </si>
  <si>
    <t>Roof — flat (drainage in the top pour) or shed, per the Summary selector; 6" 600S162-54 studs in the wall's 11.5" stack</t>
  </si>
  <si>
    <t>Roof strips of the roof-project design cast flat in the yard to the ground pour, lifted onto the walls, topped and coated. The product's roof carries NO overhang past the long walls A / C (Ken, 9 Sep 2026: the width over the roof never exceeds 14') and 6" past the end walls B / D, so the width over the roof IS the wall width. Flat: every wall 96" tall, a 0.0625"/ft drainage slope built into the top pour. Shed: wall A raised by depth × 1"/ft (rounded to the inch), the plane on the slope, rake infill on B / D. Roof studs 600S162-54 (6" web, 54 mil, 16" o.c.) for the 10–12' span — PE to confirm (the house roof keeps its 800S162-68); the floor panel shares that stud depth. generated 2026-09-12</t>
  </si>
  <si>
    <t>Roof design (from the Summary selector) — the two preset columns are the flat / shed rules of the engine (src/pricing/spec.js showerhouseToConfig)</t>
  </si>
  <si>
    <t>change it on the Summary tab (flat / shed); every IF() below keys off this cell</t>
  </si>
  <si>
    <t>Design-driven input</t>
  </si>
  <si>
    <t>Active value</t>
  </si>
  <si>
    <t>shed</t>
  </si>
  <si>
    <t>Note</t>
  </si>
  <si>
    <t>Roof slope</t>
  </si>
  <si>
    <t>in / ft</t>
  </si>
  <si>
    <t>flat: the drainage slope inside the top pour (designs.flat); shed: the plane rises to wall A (the engine's spec.slopePerFoot)</t>
  </si>
  <si>
    <t>Rake infill on walls B and D (1 = shed)</t>
  </si>
  <si>
    <t>flag</t>
  </si>
  <si>
    <t>the two triangular wedges under a sloping roof; 0 for the flat design</t>
  </si>
  <si>
    <t>Links from the Walls tab (green)</t>
  </si>
  <si>
    <t>Panels along X (wall A)</t>
  </si>
  <si>
    <t>Walls tab</t>
  </si>
  <si>
    <t>Panel height</t>
  </si>
  <si>
    <t>Footprint Z (outside width)</t>
  </si>
  <si>
    <t>Concrete waste</t>
  </si>
  <si>
    <t>Steel cut waste</t>
  </si>
  <si>
    <t>Cement price per yd³</t>
  </si>
  <si>
    <t>Foam price per yd³</t>
  </si>
  <si>
    <t>Roof inputs (from wall.config.json products.showerhouse roof.* — the same for both designs)</t>
  </si>
  <si>
    <t>Overhang, front (wall A)</t>
  </si>
  <si>
    <t>PINNED 0 by the product (Ken's 14' rule): the width over the roof = the wall width</t>
  </si>
  <si>
    <t>Overhang, back (wall C)</t>
  </si>
  <si>
    <t>PINNED 0 by the product</t>
  </si>
  <si>
    <t>Overhang, sides (walls B and D, each)</t>
  </si>
  <si>
    <t>roof.overhang.sides: adds length only</t>
  </si>
  <si>
    <t>Strip length rule</t>
  </si>
  <si>
    <t>ft</t>
  </si>
  <si>
    <t>src/pricing/spec.js ROOF_STRIP_FT: strips = round(plan width ÷ this), at least 1</t>
  </si>
  <si>
    <t>Roof stud designation</t>
  </si>
  <si>
    <t>600S162-54</t>
  </si>
  <si>
    <t>roof.studs.designation — 6" web in the wall's stack; PE to confirm for the 10–12' span</t>
  </si>
  <si>
    <t xml:space="preserve">   roof stud web depth</t>
  </si>
  <si>
    <t>roof.studs.depth; sets the roof stack (2 + 1.5 + 6 + 2 = 11.5", the wall thickness)</t>
  </si>
  <si>
    <t xml:space="preserve">   roof stud flange</t>
  </si>
  <si>
    <t>studs at 0, spacing, 2 × spacing … inside the far edge by a flange, plus the closing stud</t>
  </si>
  <si>
    <t xml:space="preserve">   roof stud gauge (info)</t>
  </si>
  <si>
    <t>mil</t>
  </si>
  <si>
    <t>Roof stud spacing</t>
  </si>
  <si>
    <t>roof.studs.spacing</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</si>
  <si>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</si>
  <si>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</si>
  <si>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</si>
  <si>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</si>
  <si>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</si>
  <si>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</si>
  <si>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</si>
  <si>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and transport weight)</t>
  </si>
  <si>
    <t>Steel allowance in the pick weight</t>
  </si>
  <si>
    <t>psf</t>
  </si>
  <si>
    <t>roof.steelPsf</t>
  </si>
  <si>
    <t>Lift inserts per strip</t>
  </si>
  <si>
    <t>roof.picks</t>
  </si>
  <si>
    <t>Roof prices (placeholders — not quotes)</t>
  </si>
  <si>
    <t>Roof studs 600S162-54 and 600T track</t>
  </si>
  <si>
    <t>$/lf</t>
  </si>
  <si>
    <t>the engine carries the house roof-stud rate (basis roofStudPrice $2.42/lf = the 600S162-68 list rate) for these 54-mil studs too — the list rate of a 600S162-54 is $1.94/lf (US Frame Factory published list, updated 5/1/2025 (usframefactory.com/current-metal-stud-pricing) — not a quote); open item, kept at the engine's value so the workbook and the engine agree</t>
  </si>
  <si>
    <t>Lift inserts</t>
  </si>
  <si>
    <t>$/ea</t>
  </si>
  <si>
    <t>placeholder; cast-in</t>
  </si>
  <si>
    <t>Crane and rigging, pick day (yard)</t>
  </si>
  <si>
    <t>$/day</t>
  </si>
  <si>
    <t>placeholder: the engine keeps the house's crane day for setting the strips on the walls; the yard forklift may do it for a 12' strip — open item</t>
  </si>
  <si>
    <t>Eco Finish roof membrane</t>
  </si>
  <si>
    <t>$/sf</t>
  </si>
  <si>
    <t>Ken priced the roof membrane at $8/sf (roof v6 sheet); installed allowance on the roof area</t>
  </si>
  <si>
    <t>Roof labor assumptions (roof v6 basis — placeholders)</t>
  </si>
  <si>
    <t>Roof framing</t>
  </si>
  <si>
    <t>man-hours / sf</t>
  </si>
  <si>
    <t>studs, track, channel, screws, flat in the yard; also the floor panel</t>
  </si>
  <si>
    <t>Roof mesh and spacers</t>
  </si>
  <si>
    <t>also the floor panel</t>
  </si>
  <si>
    <t>Roof ground pour</t>
  </si>
  <si>
    <t>in the yard; also the floor panel</t>
  </si>
  <si>
    <t>Roof top pour</t>
  </si>
  <si>
    <t>on the roof, pumped</t>
  </si>
  <si>
    <t>Pick and set the strips (crane day)</t>
  </si>
  <si>
    <t>rigging, set, level, tie down</t>
  </si>
  <si>
    <t>Roof derived quantities (formulas — they reproduce roofTakeoff(cfg) for the selected design; see the Model takeoff tab)</t>
  </si>
  <si>
    <t>Roof rise over the footprint width (shed)</t>
  </si>
  <si>
    <t>shed: depth × slope, unrounded (roofRise in src/geometry/roof.js); 0 for flat</t>
  </si>
  <si>
    <t>Wall A height (feeds the Walls tab)</t>
  </si>
  <si>
    <t>shed: panel height + the rise, rounded to the inch (showerhouseToConfig); flat: the panel height</t>
  </si>
  <si>
    <t>Roof top above the floor (highest point of the roof underside)</t>
  </si>
  <si>
    <t>wall C top + the unrounded rise (ridgeY in roof.js); the transport height uses it</t>
  </si>
  <si>
    <t>Roof plan width (X + side overhangs) = the length over the roof</t>
  </si>
  <si>
    <t>Roof plan depth (Z + front + back overhangs) = the width over the roof</t>
  </si>
  <si>
    <t>with the overhangs pinned to 0 this is the wall width</t>
  </si>
  <si>
    <t>Roof strips (panels)</t>
  </si>
  <si>
    <t>plan width ÷ the strip rule, rounded (the engine's roof.panels); each strip runs the full width</t>
  </si>
  <si>
    <t>Slope factor</t>
  </si>
  <si>
    <t>sloped length ÷ plan length; 1 for the flat design (its slope lives inside the top pour)</t>
  </si>
  <si>
    <t>Flat-design cap build-up, average</t>
  </si>
  <si>
    <t>flat: the drainage slope cast into the top pour, averaged over the depth (flatSlopeAvg in roof.js); 0 for the shed</t>
  </si>
  <si>
    <t>Strip width</t>
  </si>
  <si>
    <t>plan width ÷ strips</t>
  </si>
  <si>
    <t>Strip length, sloped</t>
  </si>
  <si>
    <t>the whole plan depth on the slope</t>
  </si>
  <si>
    <t>Roof area (on the slope; the "roofSf" scale driver)</t>
  </si>
  <si>
    <t>plan width × sloped length</t>
  </si>
  <si>
    <t>Studs per strip</t>
  </si>
  <si>
    <t>regular studs plus the closing stud</t>
  </si>
  <si>
    <t>Channel rows per strip</t>
  </si>
  <si>
    <t>same row rule as the walls, along the strip</t>
  </si>
  <si>
    <t>Roof stack</t>
  </si>
  <si>
    <t>cover + channel + stud + cap = 11.5 with the 6" stud</t>
  </si>
  <si>
    <t>Top pour depth</t>
  </si>
  <si>
    <t>stack less the ground pour (before the flat-design build-up)</t>
  </si>
  <si>
    <t>Roof studs</t>
  </si>
  <si>
    <t>strips × studs per strip × strip length;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</si>
  <si>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</si>
  <si>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</si>
  <si>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</si>
  <si>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</si>
  <si>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</si>
  <si>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</si>
  <si>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</si>
  <si>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</si>
  <si>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</si>
  <si>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</si>
  <si>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</si>
  <si>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yard lift</t>
  </si>
  <si>
    <t>Rake infill on walls B and D, neat (shed only)</t>
  </si>
  <si>
    <t>two triangular wedges, wall thickness wide, from 0 at the back to the full rise at the front; 0 for the flat design</t>
  </si>
  <si>
    <t>Roof weight for transport (both pours + steel)</t>
  </si>
  <si>
    <t>unitWeightLb in src/geometry/skid.js: (ground + top pour) × 27 × density + steel psf × area</t>
  </si>
  <si>
    <t>Roof materials &amp; labor (Type = Material or Labor; Side = Plant (cast in the yard) or Site (on the roof, in the yard); the subtotals split by type, the plant/site block by side)</t>
  </si>
  <si>
    <t>the roof stud price above; strips × studs × strip length (13 pcs in the model)</t>
  </si>
  <si>
    <t>Roof track 600T, both ends of every strip</t>
  </si>
  <si>
    <t>track at the same $/lf as the studs; lf × (1 + cut waste) (the engine still labels this line 800T — cosmetic)</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</si>
  <si>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</si>
  <si>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</si>
  <si>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</si>
  <si>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</si>
  <si>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</si>
  <si>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</si>
  <si>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</si>
  <si>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</si>
  <si>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</si>
  <si>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</si>
  <si>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</si>
  <si>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</si>
  <si>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</si>
  <si>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</si>
  <si>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</si>
  <si>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</si>
  <si>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</si>
  <si>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 shed only</t>
  </si>
  <si>
    <t>triangular wedge under the sloped roof, wall thickness wide; with waste</t>
  </si>
  <si>
    <t>same $/yd³; 0 for the flat design</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</si>
  <si>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</si>
  <si>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</si>
  <si>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</si>
  <si>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</si>
  <si>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</si>
  <si>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</si>
  <si>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day</t>
  </si>
  <si>
    <t>lifting the strips onto the walls in the yard</t>
  </si>
  <si>
    <t>equipment, typed Material; the engine's house crane day</t>
  </si>
  <si>
    <t>elastomeric membrane over the top pour</t>
  </si>
  <si>
    <t>installed allowance on the roof area, typed Material</t>
  </si>
  <si>
    <t>Labor: roof framing</t>
  </si>
  <si>
    <t>roof area × man-hours per sf</t>
  </si>
  <si>
    <t>Labor: roof mesh and spacers</t>
  </si>
  <si>
    <t>Labor: roof ground pour</t>
  </si>
  <si>
    <t>Labor: roof top pour</t>
  </si>
  <si>
    <t>Labor: pick, set and tie down the strips</t>
  </si>
  <si>
    <t>the pick day crew</t>
  </si>
  <si>
    <t>Roof subtotal</t>
  </si>
  <si>
    <t>ROOF TOTAL (materials + labor, before contingency)</t>
  </si>
  <si>
    <t>Plant / site split of the roof lines (manufacturing model — the Manufacturing tab prices the Plant lines as a product)</t>
  </si>
  <si>
    <t>Roof as the unit buys it: panel sell price (Manufacturing tab) + yard work with the Summary contingency</t>
  </si>
  <si>
    <t>no contingency on the sell price; the top pour, rake infill, crane, membrane and their labor carry it</t>
  </si>
  <si>
    <t>Roof cost per sf of roof, as bought</t>
  </si>
  <si>
    <t>Switch the design on the Summary tab: flat → every wall 96", the 0.0625"/ft drainage slope in the top pour; shed → wall A = 96" + width × 1"/ft (rounded), the strips on the slope, the rake infill on walls B / D. No clerestory for this product. The overhangs past A / C are pinned to 0 (the width over the roof = the wall width, Ken's 14' ceiling); the 6" end overhangs add length only.</t>
  </si>
  <si>
    <t>Floor panel on the skid — the Option B plant panel (the roof design cast finish-face UP, ground pour only) with the drains, shower slopes and sleeves cast in</t>
  </si>
  <si>
    <t>Same footprint as the walls; the panel sits on the skid, so there is no slab, no footing and no site crane: EVERY line is plant work (Side = Plant) and the Manufacturing tab sells the panel at plant cost + overhead + margin like the roof strips. The takeoff is the roof-strip rules on one panel the width of the footprint (studs across X spanning Z at the roof spacing, channel rows along Z, one set of lift inserts, the perimeter as the edge form), plus the cast-ins per room (drain sleeve, supply / DWV sleeves at the plumbing wall, the shower slope and curb form), the floor-to-skid fasteners at every cross member and the yard hours to set it on the skid with the forklift. Yellow = placeholders; green = linked.</t>
  </si>
  <si>
    <t>Links (green)</t>
  </si>
  <si>
    <t>Footprint X</t>
  </si>
  <si>
    <t>linked to the Walls footprint</t>
  </si>
  <si>
    <t>Footprint Z</t>
  </si>
  <si>
    <t>Floor panel area (outside of walls)</t>
  </si>
  <si>
    <t>Perimeter (edge form)</t>
  </si>
  <si>
    <t>Cast density</t>
  </si>
  <si>
    <t>Cellular concrete, cement + foam</t>
  </si>
  <si>
    <t>Ken's basis: $200 + $20 per yd³ (Walls mix block)</t>
  </si>
  <si>
    <t>Walls tab (same rule as the roof strips)</t>
  </si>
  <si>
    <t>Labor: framing</t>
  </si>
  <si>
    <t>Roof tab (rMhFrame)</t>
  </si>
  <si>
    <t>Labor: mesh and spacers</t>
  </si>
  <si>
    <t>Roof tab (rMhMesh)</t>
  </si>
  <si>
    <t>Labor: ground pour</t>
  </si>
  <si>
    <t>Roof tab (rMhGround)</t>
  </si>
  <si>
    <t>Summary tab; the cast-ins are per room</t>
  </si>
  <si>
    <t>Skid cross members</t>
  </si>
  <si>
    <t>Skid tab; the floor-to-skid fasteners sit at every cross member</t>
  </si>
  <si>
    <t>Floor panel inputs (the roof-panel design: roof config concrete.* and studs.* — the same 6" studs as the roof)</t>
  </si>
  <si>
    <t>Bottom cover = finished floor face (cast on the liner, turned up)</t>
  </si>
  <si>
    <t>roof config concrete.bottomCover</t>
  </si>
  <si>
    <t>roof config</t>
  </si>
  <si>
    <t>600S162-68 (the engine's floor stud, basis fpStudDepth); the panel's studs reach 9.5" below the finished top = the skid top</t>
  </si>
  <si>
    <t>Ground pour (cover + channel + 3" into the studs)</t>
  </si>
  <si>
    <t>basis fpGroundPour — the panel is NOT filled further</t>
  </si>
  <si>
    <t>basis fpSpacing</t>
  </si>
  <si>
    <t>Stud flange</t>
  </si>
  <si>
    <t>basis fpFlange</t>
  </si>
  <si>
    <t>Channel row spacing (first row 12" in)</t>
  </si>
  <si>
    <t>basis fpRowSpacing</t>
  </si>
  <si>
    <t>basis fpPicks</t>
  </si>
  <si>
    <t>basis fpSteelPsf</t>
  </si>
  <si>
    <t>Stud 600S162-68 (14 ga)</t>
  </si>
  <si>
    <t>US Frame Factory published list, updated 5/1/2025 (usframefactory.com/current-metal-stud-pricing) — not a quote</t>
  </si>
  <si>
    <t>Track 600T150-68</t>
  </si>
  <si>
    <t>assumed at the 68-mil stud rate</t>
  </si>
  <si>
    <t>Cold-rolled channel 1-1/2" 16 ga</t>
  </si>
  <si>
    <t>$11.67 per 16 ft piece, same list</t>
  </si>
  <si>
    <t>Screws</t>
  </si>
  <si>
    <t>placeholder</t>
  </si>
  <si>
    <t>Spacer blocks</t>
  </si>
  <si>
    <t>Ground form: liner</t>
  </si>
  <si>
    <t>Ground form: edge lumber</t>
  </si>
  <si>
    <t>Cast-ins per room: drain sleeve, supply sleeves, shower slope form</t>
  </si>
  <si>
    <t>$/room</t>
  </si>
  <si>
    <t>placeholder (basis shSleevesPerRoom)</t>
  </si>
  <si>
    <t>Set the cast-ins and shower slopes</t>
  </si>
  <si>
    <t>man-hours / room</t>
  </si>
  <si>
    <t>placeholder (basis shMhSleevesRoom), before the ground pour</t>
  </si>
  <si>
    <t>Floor-to-skid fastener (bolt / insert through the floor track)</t>
  </si>
  <si>
    <t>placeholder (basis shFloorFastenerPrice)</t>
  </si>
  <si>
    <t>Fasteners per skid cross member</t>
  </si>
  <si>
    <t>assumption: one at each end of every cross member</t>
  </si>
  <si>
    <t>Set and fasten the panel on the skid (yard forklift)</t>
  </si>
  <si>
    <t>placeholder (basis shMhSetFloor): lift, level, bolt down; no crane</t>
  </si>
  <si>
    <t>Studs</t>
  </si>
  <si>
    <t>across footprint X, plus the closing stud — the roof-strip stud rule on ONE panel the width of the footprint</t>
  </si>
  <si>
    <t>Stud length (spans footprint Z)</t>
  </si>
  <si>
    <t>bears on the skid runners</t>
  </si>
  <si>
    <t>Channel rows</t>
  </si>
  <si>
    <t>Floor panel concrete to order</t>
  </si>
  <si>
    <t>ground pour only, with waste</t>
  </si>
  <si>
    <t>Floor panel weight (pick and transport)</t>
  </si>
  <si>
    <t>concrete + the steel allowance over the outside footprint</t>
  </si>
  <si>
    <t>Floor-to-skid fasteners</t>
  </si>
  <si>
    <t>per cross member, at least 4</t>
  </si>
  <si>
    <t>Cellular concrete, ground pour (cement + foam)</t>
  </si>
  <si>
    <t>Ken's basis: 600 lb/yd³, $200 + $20 per yd³</t>
  </si>
  <si>
    <t>cast in the yard — ground pour only, like the roof strips</t>
  </si>
  <si>
    <t>Studs 600S162-68</t>
  </si>
  <si>
    <t>studs × length</t>
  </si>
  <si>
    <t>studs across X spanning Z on the skid runners</t>
  </si>
  <si>
    <t>both ends</t>
  </si>
  <si>
    <t>Cold-rolled channel</t>
  </si>
  <si>
    <t>rows × width</t>
  </si>
  <si>
    <t>crossings × screws per crossing</t>
  </si>
  <si>
    <t>one layer, with lap</t>
  </si>
  <si>
    <t>rows × studs</t>
  </si>
  <si>
    <t>cast-in</t>
  </si>
  <si>
    <t>Ground form liner</t>
  </si>
  <si>
    <t>10 % lap</t>
  </si>
  <si>
    <t>Ground form edge lumber</t>
  </si>
  <si>
    <t>perimeter</t>
  </si>
  <si>
    <t>panel area × the roof framing productivity</t>
  </si>
  <si>
    <t>hours × rate</t>
  </si>
  <si>
    <t>panel area × the roof mesh productivity</t>
  </si>
  <si>
    <t>yd³ placed × the roof ground-pour productivity</t>
  </si>
  <si>
    <t>Cast-in drain sleeves, supply sleeves and shower slopes</t>
  </si>
  <si>
    <t>per room: the floor-drain body sleeve, the supply / DWV sleeves at the plumbing wall and the shower slope / curb form set in the ground pour</t>
  </si>
  <si>
    <t>Labor: set the cast-ins and the shower slopes</t>
  </si>
  <si>
    <t>rooms × man-hours per room, before the ground pour</t>
  </si>
  <si>
    <t>through the floor track into the steel</t>
  </si>
  <si>
    <t>per skid cross member (Skid tab)</t>
  </si>
  <si>
    <t>Labor: set and fasten the floor panel on the skid (yard)</t>
  </si>
  <si>
    <t>lift the panel onto the skid with the yard forklift, level it and bolt it down</t>
  </si>
  <si>
    <t>Floor panel subtotal (the plant cost before overhead and margin)</t>
  </si>
  <si>
    <t>Plant / site split of the floor panel lines (manufacturing model — the Manufacturing tab prices the Plant lines as a product)</t>
  </si>
  <si>
    <t>Floor panel as the unit buys it: SELL PRICE (Manufacturing tab: plant cost + overhead allocation + margin)</t>
  </si>
  <si>
    <t>Sell price per sf of floor panel (outside)</t>
  </si>
  <si>
    <t>What the unit gets: a finished, insulated cellular-concrete floor with the drains and shower slopes already in it, bolted to the skid; no slab, no footings, no crane — the whole unit is one crane pick at the park (Delivery and set). The drain bodies, grates and primers are under Plumbing; the shower base finish under Finishes.</t>
  </si>
  <si>
    <t>Not here: the pad the unit sits on at the park (Delivery and set: a levelled gravel pad allowance), the ground anchors at the lugs (same section), the floor coating (Finishes).</t>
  </si>
  <si>
    <t>Steel skid — runners, cross members, fork pockets, lugs, tie-downs: steel by weight, welding, paint or galvanizing; plant product at a sell price · the unit weight and the transport / pick facts</t>
  </si>
  <si>
    <t>Two longitudinal HSS runners (three when the outside width exceeds 150": the 14' unit), cross members every 48" between them incl. both ends, two pairs of fork pockets through the runners at ¼ and ¾ of the length, four corner lugs rated 10,000 lb each (the crane pick points), 4 tie-down rings; primed and painted, or hot-dip galvanized per the Summary selector. Every line is Plant: the skid is made in the shop and sold to the unit like the panels (Manufacturing tab). The quantities are src/geometry/skid.js skidTakeoff(cfg); the member sizes and weights are placeholders (blue = config skid.*). generated 2026-09-12</t>
  </si>
  <si>
    <t>Links (green) and the finish selector</t>
  </si>
  <si>
    <t>Skid finish (Summary selector)</t>
  </si>
  <si>
    <t>painted / galvanized — change it on the Summary tab</t>
  </si>
  <si>
    <t>Skid length = footprint X</t>
  </si>
  <si>
    <t>Walls tab: the runners run the length</t>
  </si>
  <si>
    <t>Skid width = footprint Z (outside width over the cladding)</t>
  </si>
  <si>
    <t>Walls tab: the pockets run the full width</t>
  </si>
  <si>
    <t>Members (config skid.* — placeholders, PE to size)</t>
  </si>
  <si>
    <t>Runner section</t>
  </si>
  <si>
    <t>HSS 6x4x1/4</t>
  </si>
  <si>
    <t>skid.runnerSize; the 6" side stands up = the skid height</t>
  </si>
  <si>
    <t xml:space="preserve">   runner weight</t>
  </si>
  <si>
    <t>lb/ft</t>
  </si>
  <si>
    <t>skid.runnerLbPerFt (AISC HSS6x4x1/4 ≈ 14.53 lb/ft)</t>
  </si>
  <si>
    <t xml:space="preserve">   runner depth (stands up)</t>
  </si>
  <si>
    <t xml:space="preserve">   runner width</t>
  </si>
  <si>
    <t>A third runner when the outside width exceeds</t>
  </si>
  <si>
    <t>skid.wideRunnerOverIn: 10' and 12' units get two runners, 14' three</t>
  </si>
  <si>
    <t>Cross member section</t>
  </si>
  <si>
    <t>HSS 4x4x1/4</t>
  </si>
  <si>
    <t>skid.crossSize</t>
  </si>
  <si>
    <t xml:space="preserve">   cross member weight</t>
  </si>
  <si>
    <t>skid.crossLbPerFt</t>
  </si>
  <si>
    <t xml:space="preserve">   cross member depth (square)</t>
  </si>
  <si>
    <t xml:space="preserve">   cross member spacing</t>
  </si>
  <si>
    <t>from the front end, plus one flush with the far end</t>
  </si>
  <si>
    <t>Fork pocket section</t>
  </si>
  <si>
    <t>HSS 8x6x1/4</t>
  </si>
  <si>
    <t>skid.pocketSize; the 8" side lies flat, 6" tall through the runners</t>
  </si>
  <si>
    <t xml:space="preserve">   pocket weight</t>
  </si>
  <si>
    <t>skid.pocketLbPerFt</t>
  </si>
  <si>
    <t xml:space="preserve">   pocket width (opening across the length)</t>
  </si>
  <si>
    <t xml:space="preserve">   pockets (two pairs)</t>
  </si>
  <si>
    <t>a pair at ¼ and a pair at ¾ of the length, each pocket the full skid width</t>
  </si>
  <si>
    <t>Skid height</t>
  </si>
  <si>
    <t>skid.heightIn = the runner depth; the pockets are this tall</t>
  </si>
  <si>
    <t>Lifting lugs</t>
  </si>
  <si>
    <t>one at each corner on the outer runners' outer faces</t>
  </si>
  <si>
    <t xml:space="preserve">   lug rating</t>
  </si>
  <si>
    <t>lb each</t>
  </si>
  <si>
    <t>skid.lugRatedLb</t>
  </si>
  <si>
    <t xml:space="preserve">   lug weight</t>
  </si>
  <si>
    <t>skid.lugLbEach: 1/2" plate with a shackle hole</t>
  </si>
  <si>
    <t xml:space="preserve">   lug width</t>
  </si>
  <si>
    <t>welded both faces: 2 × this per lug</t>
  </si>
  <si>
    <t xml:space="preserve">   lug stands above the skid top</t>
  </si>
  <si>
    <t>its hole is in that part; painted both faces over (skid height + this)</t>
  </si>
  <si>
    <t>Tie-down rings</t>
  </si>
  <si>
    <t>skid.tieDowns on the outer runners for the trailer chains and the ground anchors</t>
  </si>
  <si>
    <t>Fixtures allowance in the transport weight</t>
  </si>
  <si>
    <t>skid.fixturesAllowanceLb: fixtures, heater, panel, doors — placeholder</t>
  </si>
  <si>
    <t>Prices and productivities (basis showerhouse.* — every one a placeholder)</t>
  </si>
  <si>
    <t>Skid steel: HSS runners, cross members, pockets, delivered and cut</t>
  </si>
  <si>
    <t>$/lb</t>
  </si>
  <si>
    <t>placeholder: A500 HSS from a service center, cut to length; priced by weight</t>
  </si>
  <si>
    <t>Lifting lug, 1/2" plate, cut and drilled</t>
  </si>
  <si>
    <t>Tie-down ring</t>
  </si>
  <si>
    <t>Welding consumables (wire, gas, discs)</t>
  </si>
  <si>
    <t>$/ft of weld</t>
  </si>
  <si>
    <t>Layout, cut and fit (per skid)</t>
  </si>
  <si>
    <t>placeholder: cut the members, square the frame, tack</t>
  </si>
  <si>
    <t>Welding</t>
  </si>
  <si>
    <t>man-hours / ft of weld</t>
  </si>
  <si>
    <t>placeholder: fit, weld out, grind</t>
  </si>
  <si>
    <t>Prime and paint, material</t>
  </si>
  <si>
    <t>$/sf of steel surface</t>
  </si>
  <si>
    <t>placeholder: shop primer + industrial enamel (finish = painted)</t>
  </si>
  <si>
    <t>Prep and paint</t>
  </si>
  <si>
    <t>placeholder: wire-brush, prime, two coats (finish = painted)</t>
  </si>
  <si>
    <t>Hot-dip galvanizing, outsourced</t>
  </si>
  <si>
    <t>placeholder: galvanizers quote by weight (~$1/lb); carried per sf so paint and galvanizing compare (finish = galvanized)</t>
  </si>
  <si>
    <t>Skid takeoff (formulas — they reproduce skidTakeoff(cfg); see the Model takeoff tab)</t>
  </si>
  <si>
    <t>Runners</t>
  </si>
  <si>
    <t>two at the edges, a third down the middle for the wide unit (runnerStations)</t>
  </si>
  <si>
    <t>Bays between the runners</t>
  </si>
  <si>
    <t>Runner length</t>
  </si>
  <si>
    <t>runners × the skid length</t>
  </si>
  <si>
    <t>Cross-member stations along the length</t>
  </si>
  <si>
    <t>every spacing from the front end while a member fits, plus one flush with the far end (crossStations)</t>
  </si>
  <si>
    <t>Cross members</t>
  </si>
  <si>
    <t>stations × bays</t>
  </si>
  <si>
    <t>Cross member length</t>
  </si>
  <si>
    <t>the width less the runners, per bay</t>
  </si>
  <si>
    <t>Cross member length, total</t>
  </si>
  <si>
    <t>Fork pocket length, total</t>
  </si>
  <si>
    <t>each pocket the full width</t>
  </si>
  <si>
    <t>Runners weight</t>
  </si>
  <si>
    <t>Cross members weight</t>
  </si>
  <si>
    <t>Fork pockets weight</t>
  </si>
  <si>
    <t>Lugs weight</t>
  </si>
  <si>
    <t>Skid steel</t>
  </si>
  <si>
    <t>runners + cross members + pockets + lugs (the tie-down rings are pieces)</t>
  </si>
  <si>
    <t>Weld</t>
  </si>
  <si>
    <t>every cross-member end (its perimeter), every pocket / runner crossing (the pocket perimeter), both faces of every lug</t>
  </si>
  <si>
    <t>Steel surface (paint / galvanizing)</t>
  </si>
  <si>
    <t>every member's perimeter × length + both faces of every lug</t>
  </si>
  <si>
    <t>Painted (1) / galvanized (0)</t>
  </si>
  <si>
    <t>gates the three finish lines below</t>
  </si>
  <si>
    <t>Skid materials &amp; labor (every line Plant — the shop makes the skid; Type = Material or Labor)</t>
  </si>
  <si>
    <t>HSS, cut to the skid length</t>
  </si>
  <si>
    <t>runners × length × lb/ft; steel at the $/lb above</t>
  </si>
  <si>
    <t>HSS between the runners</t>
  </si>
  <si>
    <t>count × length × lb/ft</t>
  </si>
  <si>
    <t>HSS through the runners, the full width</t>
  </si>
  <si>
    <t>pockets × width × lb/ft</t>
  </si>
  <si>
    <t>1/2" plate lug with a shackle hole, cut and drilled; the crane pick points</t>
  </si>
  <si>
    <t>Tie-down points</t>
  </si>
  <si>
    <t>forged rings on the outer runners for the trailer chains and the ground anchors</t>
  </si>
  <si>
    <t>Welding consumables</t>
  </si>
  <si>
    <t>wire, gas, discs per foot of weld</t>
  </si>
  <si>
    <t>weld feet × $/ft</t>
  </si>
  <si>
    <t>Labor: layout, cut and fit the skid</t>
  </si>
  <si>
    <t>fixed hours per skid: cut the members to length, square the frame, tack</t>
  </si>
  <si>
    <t>Labor: weld</t>
  </si>
  <si>
    <t>weld feet × man-hours per foot (fit, weld, grind)</t>
  </si>
  <si>
    <t>Prime and paint (painted finish)</t>
  </si>
  <si>
    <t>steel surface: shop primer + industrial enamel, material</t>
  </si>
  <si>
    <t>0 when the Summary selector says galvanized</t>
  </si>
  <si>
    <t>Labor: prep and paint the skid (painted finish)</t>
  </si>
  <si>
    <t>surface sf × man-hours per sf (wire-brush, prime, two coats)</t>
  </si>
  <si>
    <t>hours × loaded rate; 0 when galvanized</t>
  </si>
  <si>
    <t>Hot-dip galvanizing, outsourced (galvanized finish)</t>
  </si>
  <si>
    <t>steel surface at the $/sf above; galvanizers quote by weight — placeholder</t>
  </si>
  <si>
    <t>0 when the Summary selector says painted</t>
  </si>
  <si>
    <t>Skid subtotal</t>
  </si>
  <si>
    <t>SKID TOTAL (materials + labor = the plant cost before overhead and margin)</t>
  </si>
  <si>
    <t>Plant / site split of the skid lines (manufacturing model — the Manufacturing tab prices the Plant lines as a product)</t>
  </si>
  <si>
    <t>Skid as the unit buys it: SELL PRICE (Manufacturing tab: plant cost + overhead allocation + margin)</t>
  </si>
  <si>
    <t>Sell price per lb of skid steel</t>
  </si>
  <si>
    <t>Unit weight and transport / pick facts (src/geometry/skid.js unitWeightLb; src/pricing/showerhouse.js transportFacts)</t>
  </si>
  <si>
    <t>Wall panel steel in the transport weight</t>
  </si>
  <si>
    <t>psf of net wall</t>
  </si>
  <si>
    <t>WALL_STEEL_PSF in src/geometry/skid.js: studs, track, channel, mesh</t>
  </si>
  <si>
    <t>Legal width without a permit</t>
  </si>
  <si>
    <t>8'6" (TRANSPORT_LIMITS.legalWidthIn)</t>
  </si>
  <si>
    <t>Legal height on the trailer without a permit</t>
  </si>
  <si>
    <t>13'6" (TRANSPORT_LIMITS.legalHeightIn); a permit covers 6" more before a pilot car</t>
  </si>
  <si>
    <t>Ken's ceiling: the width over the roof, roof edge included</t>
  </si>
  <si>
    <t>14' (TRANSPORT_LIMITS.permitWidthIn): every offered width needs a permit, none a pilot car</t>
  </si>
  <si>
    <t>Trailer deck height</t>
  </si>
  <si>
    <t>placeholder: drop-deck / lowboy; a flatbed is ~60"</t>
  </si>
  <si>
    <t>Rigging allowance on the pick weight</t>
  </si>
  <si>
    <t>spreader bar, slings and shackles</t>
  </si>
  <si>
    <t>Wall panels weight</t>
  </si>
  <si>
    <t>skin pour + cladding at the cast density, the fill at its density, + steel psf on the net area (Walls tab links)</t>
  </si>
  <si>
    <t>Roof weight</t>
  </si>
  <si>
    <t>Roof tab: both pours + steel</t>
  </si>
  <si>
    <t>Floor panel weight</t>
  </si>
  <si>
    <t>Floor panel tab: the ground pour + steel psf over the outside footprint</t>
  </si>
  <si>
    <t>Fixtures allowance</t>
  </si>
  <si>
    <t>UNIT WEIGHT</t>
  </si>
  <si>
    <t>panels + roof + floor + skid + fixtures</t>
  </si>
  <si>
    <t>Width over the walls (outside, over the cladding)</t>
  </si>
  <si>
    <t>Width over the roof (plan depth across z)</t>
  </si>
  <si>
    <t>walls + the overhangs past A / C (pinned 0)</t>
  </si>
  <si>
    <t>WIDTH on the road = the larger of the two</t>
  </si>
  <si>
    <t>the unit rides lengthwise; the width is the z direction</t>
  </si>
  <si>
    <t xml:space="preserve">   in feet</t>
  </si>
  <si>
    <t>Width check against the 14' ceiling</t>
  </si>
  <si>
    <t>the audit rule (scripts/audit-config.js widthOverRoofIn)</t>
  </si>
  <si>
    <t>LENGTH over the roof</t>
  </si>
  <si>
    <t>the wall run + the two end overhangs</t>
  </si>
  <si>
    <t>HEIGHT overall, skid bottom to roof top</t>
  </si>
  <si>
    <t>skid + the highest roof underside (wall top + the shed rise) + the roof stack</t>
  </si>
  <si>
    <t>Height on the trailer</t>
  </si>
  <si>
    <t>deck + the unit</t>
  </si>
  <si>
    <t>none = legal load; permit = oversize permit, no pilot car (every offered width); pilot = over height on the trailer (a lower deck brings it back)</t>
  </si>
  <si>
    <t>Permit note</t>
  </si>
  <si>
    <t>Crane class (hydraulic truck crane at a 25–30 ft radius)</t>
  </si>
  <si>
    <t>tons</t>
  </si>
  <si>
    <t>placeholder rule: ~40 % of the rating at that radius → 2.5 × the load, in 5-ton steps</t>
  </si>
  <si>
    <t>Forklift rating for a pocket lift</t>
  </si>
  <si>
    <t>well over this on firm ground</t>
  </si>
  <si>
    <t>the engine's cranePick text</t>
  </si>
  <si>
    <t>Every quantity above is skidTakeoff(cfg) in src/geometry/skid.js as formulas; the member sizes, lb/ft, lug rating and the fixtures allowance are placeholders the PE and the fabricator replace. Delivery, the site crane day, the tie-downs at the site and the pad are on the Fixtures and finishes tab (Delivery and set).</t>
  </si>
  <si>
    <t>Manufacturing — the wall panels, roof panels, floor panel and steel skid as products: plant cost + overhead + margin = sell price</t>
  </si>
  <si>
    <t>The Plant lines of the Walls, Roof, Floor panel and Skid tabs (Side column) are what the plant builds; this tab loads them with a share of the monthly plant overhead (by plant man-hours) and a target margin, and the Summary buys the four at the resulting SELL PRICES (no contingency on them). The Site lines of the walls and roof — the yard assembly on the skid — stay builder cost with contingency.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</si>
  <si>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</si>
  <si>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</si>
  <si>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</si>
  <si>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</si>
  <si>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</si>
  <si>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</si>
  <si>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</si>
  <si>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</si>
  <si>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</si>
  <si>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</si>
  <si>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</si>
  <si>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</si>
  <si>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</si>
  <si>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</si>
  <si>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</si>
  <si>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</si>
  <si>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</si>
  <si>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</si>
  <si>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</si>
  <si>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</si>
  <si>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</si>
  <si>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one % for the walls, roof, floor panel and skid; the Summary's builder O&amp;P input stays separate</t>
  </si>
  <si>
    <t>Links (green) — this unit, from its own Plant / Site lines</t>
  </si>
  <si>
    <t>Exterior wall panels</t>
  </si>
  <si>
    <t>Interior partition panels (inside the walls sell price)</t>
  </si>
  <si>
    <t>Roof area (on the slope)</t>
  </si>
  <si>
    <t>Roof tab</t>
  </si>
  <si>
    <t>Floor panel tab</t>
  </si>
  <si>
    <t>Skid tab</t>
  </si>
  <si>
    <t>Per-unit plant P&amp;L (this unit, from its own Plant lines)</t>
  </si>
  <si>
    <t>Walls</t>
  </si>
  <si>
    <t>Roof</t>
  </si>
  <si>
    <t>Floor panel</t>
  </si>
  <si>
    <t>Skid</t>
  </si>
  <si>
    <t>All</t>
  </si>
  <si>
    <t>Plant material</t>
  </si>
  <si>
    <t>Σ Material of the Plant lines (each tab's plant / site split)</t>
  </si>
  <si>
    <t>Plant labor</t>
  </si>
  <si>
    <t>Σ Labor of the Plant lines</t>
  </si>
  <si>
    <t>Plant labor hours</t>
  </si>
  <si>
    <t>Σ Qty of the Plant Labor lines (man-hours); all four join the capacity view</t>
  </si>
  <si>
    <t>Overhead allocation</t>
  </si>
  <si>
    <t>plant hours × the overhead rate above</t>
  </si>
  <si>
    <t>Plant cost</t>
  </si>
  <si>
    <t>material + labor + overhead</t>
  </si>
  <si>
    <t>Target margin</t>
  </si>
  <si>
    <t>the yellow margin input above (one % for all four)</t>
  </si>
  <si>
    <t>Manufacturing profit</t>
  </si>
  <si>
    <t>plant cost × margin</t>
  </si>
  <si>
    <t>SELL PRICE (what the unit pays)</t>
  </si>
  <si>
    <t>plant cost + profit; no contingency on it — the Summary buys the four at these prices</t>
  </si>
  <si>
    <t>Sell price per exterior wall panel / per roof sf / per floor sf / per lb of skid</t>
  </si>
  <si>
    <t>walls ÷ exterior panels (the partition panels ride inside); roof ÷ roof area; floor ÷ outside area; skid ÷ steel lb</t>
  </si>
  <si>
    <t>Plant cost per exterior wall panel / per roof sf / per floor sf / per lb of skid</t>
  </si>
  <si>
    <t>before margin</t>
  </si>
  <si>
    <t>Yard work (site side — Summary rows with contingency)</t>
  </si>
  <si>
    <t>Site material</t>
  </si>
  <si>
    <t>Σ Material of the Site lines: top track, joint + cladding screws, floor anchors, cavity fill, MEP allowance / top pour, rake infill, crane, membrane; 0 for the floor panel and the skid (all plant)</t>
  </si>
  <si>
    <t>Site labor</t>
  </si>
  <si>
    <t>Σ Labor of the Site lines: set, anchor + screw, wire and plumb, hang the cladding, pump, set the partitions / top pour, pick day</t>
  </si>
  <si>
    <t>Site work total (before contingency)</t>
  </si>
  <si>
    <t>Check: plant + site − tab total (must be 0)</t>
  </si>
  <si>
    <t>a line with a blank Side is missed</t>
  </si>
  <si>
    <t>Monthly capacity view (the plant building this unit back to back)</t>
  </si>
  <si>
    <t>Plant hours per unit (walls + roof + floor panel + skid)</t>
  </si>
  <si>
    <t>from the P&amp;L above (All column)</t>
  </si>
  <si>
    <t>Units per month</t>
  </si>
  <si>
    <t>units/month</t>
  </si>
  <si>
    <t>plant man-hours available ÷ plant hours per unit</t>
  </si>
  <si>
    <t>Weeks of plant time per unit</t>
  </si>
  <si>
    <t>weeks</t>
  </si>
  <si>
    <t>plant hours ÷ (monthly hours ÷ 4.33 weeks)</t>
  </si>
  <si>
    <t>Monthly revenue (the four products sold)</t>
  </si>
  <si>
    <t>units × sell price (all four)</t>
  </si>
  <si>
    <t>Monthly plant material + labor</t>
  </si>
  <si>
    <t>units × (plant material + plant labor)</t>
  </si>
  <si>
    <t>Monthly overhead recovered</t>
  </si>
  <si>
    <t>equals the total plant overhead above when the plant runs full (hours × rate)</t>
  </si>
  <si>
    <t>Monthly plant cost (material + labor + overhead)</t>
  </si>
  <si>
    <t>Monthly manufacturing profit</t>
  </si>
  <si>
    <t>units × manufacturing profit</t>
  </si>
  <si>
    <t>Placeholders (yellow): the four overhead lines, the crew size, the hours per person and the 20 % margin are Claude's round numbers — Ken replaces them. The overhead rate, allocations, sell prices and the capacity view are formulas.</t>
  </si>
  <si>
    <t>No contingency applies to the four sell prices: the plant's own waste factors (concrete, steel, mesh) are already in its lines. The Summary contingency covers the builder's costs only — the yard assembly of the walls and roof, the fixtures and finishes, delivery and set, soft costs.</t>
  </si>
  <si>
    <t>Plant hours = the Qty of the Plant Labor lines on the Walls (bed setup, framing, mesh + spacers, bed pours, the partition panels), Roof (framing, mesh + spacers, ground pour), Floor panel (framing, mesh + spacers, ground pour, cast-ins, set on the skid) and Skid (fit, weld, paint) tabs. Re-tag a line's Side on those tabs and it moves between the plant P&amp;L and the yard work.</t>
  </si>
  <si>
    <t>Fixtures and finishes — plumbing, electrical, finishes, accessibility, doors and windows, delivery and set, soft costs</t>
  </si>
  <si>
    <t>From docs/showerhouse-items.json: every line's quantity is its reference quantity × (this unit's driver ÷ the reference unit's) — rooms, accessible rooms, inside sf, perimeter, doors, windows, openings, net wall sf, roof sf, panels, exterior lights, miles — rounded for whole things; the tile / spray lines follow the Summary shower-finish selector, the wall heater its yes / no cell, the oversize permit the transport class on the Skid tab. YELLOW = placeholder unit prices and labor (hours per unit at the loaded rate, or a flat $ per unit) — none is a quote. Section subtotals feed the Summary.</t>
  </si>
  <si>
    <t>Links (green), selectors (yellow) and the scale drivers of this unit</t>
  </si>
  <si>
    <t>Walls tab; every "hours per unit" line multiplies by it</t>
  </si>
  <si>
    <t>Shower finish (Summary selector)</t>
  </si>
  <si>
    <t>tile / spray — the tile lines count for tile, the spray line for spray</t>
  </si>
  <si>
    <t>Wall heater for freeze protection (yes / no)</t>
  </si>
  <si>
    <t>yes</t>
  </si>
  <si>
    <t>spec.sh.heater: the 240 V wall heaters count only with yes</t>
  </si>
  <si>
    <t>Exterior lights at every door (1 = yes, 0 = none)</t>
  </si>
  <si>
    <t>spec.exterior.lightStyle: none = 0</t>
  </si>
  <si>
    <t>Delivery distance</t>
  </si>
  <si>
    <t>miles</t>
  </si>
  <si>
    <t>basis showerhouse.shDeliveryMiles: plant to the park, one way (placeholder); the truck line scales by it</t>
  </si>
  <si>
    <t>Transport permit class (Skid tab)</t>
  </si>
  <si>
    <t>none / permit / pilot — the permit allowance counts unless none</t>
  </si>
  <si>
    <t>Summary tab</t>
  </si>
  <si>
    <t>Accessible bathrooms</t>
  </si>
  <si>
    <t>Perimeter (outside)</t>
  </si>
  <si>
    <t>Exterior doors (incl. the closet)</t>
  </si>
  <si>
    <t>Windows</t>
  </si>
  <si>
    <t>Net wall area (exterior walls, openings out)</t>
  </si>
  <si>
    <t>Walls tab (follows the roof design: the shed raises wall A)</t>
  </si>
  <si>
    <t>Roof area</t>
  </si>
  <si>
    <t>Exterior lights (one at every door)</t>
  </si>
  <si>
    <t>doors × the flag</t>
  </si>
  <si>
    <t>Reference unit (the quantities in docs/showerhouse-items.json were typed for it — blue, from the json)</t>
  </si>
  <si>
    <t>Reference rooms</t>
  </si>
  <si>
    <t>docs/showerhouse-items.json reference</t>
  </si>
  <si>
    <t>Reference accessibleRooms</t>
  </si>
  <si>
    <t>Reference sf</t>
  </si>
  <si>
    <t>Reference perimeter</t>
  </si>
  <si>
    <t>Reference doors</t>
  </si>
  <si>
    <t>Reference windows</t>
  </si>
  <si>
    <t>Reference openings</t>
  </si>
  <si>
    <t>Reference netWallSf</t>
  </si>
  <si>
    <t>Reference roofSf</t>
  </si>
  <si>
    <t>Reference panels</t>
  </si>
  <si>
    <t>Reference exteriorLights</t>
  </si>
  <si>
    <t>Reference miles</t>
  </si>
  <si>
    <t>Scale factors (this unit ÷ the reference)</t>
  </si>
  <si>
    <t>× rooms</t>
  </si>
  <si>
    <t>× accessibleRooms</t>
  </si>
  <si>
    <t>× sf</t>
  </si>
  <si>
    <t>× perimeter</t>
  </si>
  <si>
    <t>× doors</t>
  </si>
  <si>
    <t>× windows</t>
  </si>
  <si>
    <t>× openings</t>
  </si>
  <si>
    <t>× netWallSf</t>
  </si>
  <si>
    <t>× roofSf</t>
  </si>
  <si>
    <t>× panels</t>
  </si>
  <si>
    <t>× exteriorLights</t>
  </si>
  <si>
    <t>× miles</t>
  </si>
  <si>
    <t>PLUMBING</t>
  </si>
  <si>
    <t>Scale rule</t>
  </si>
  <si>
    <t>Material $/unit</t>
  </si>
  <si>
    <t>Labor h/unit or flat $</t>
  </si>
  <si>
    <t>Shower valve (pressure-balance), head and trim</t>
  </si>
  <si>
    <t>one per room; anti-scald valve, fixed head; the hand shower on a slide bar is under Accessibility; qty scaled by rooms (2 at the reference unit)</t>
  </si>
  <si>
    <t>Toilet, floor-mount elongated (comfort height where accessible)</t>
  </si>
  <si>
    <t>one per room; flange cast in the floor panel; qty scaled by rooms (2 at the reference unit)</t>
  </si>
  <si>
    <t>Lavatory, wall-hung, with faucet</t>
  </si>
  <si>
    <t>one per room; the ADA-compliant lav upcharge is under Accessibility; qty scaled by rooms (2 at the reference unit)</t>
  </si>
  <si>
    <t>Floor drain, cast-in body with grate and trap primer</t>
  </si>
  <si>
    <t>one per room; the sleeve is cast in the floor panel (Floor panel section), this is the drain body, grate and primer; qty scaled by rooms (2 at the reference unit)</t>
  </si>
  <si>
    <t>Supply and DWV rough-in per room</t>
  </si>
  <si>
    <t>PEX from the closet manifold, 2" and 3" DWV to a common outlet, vent through the roof cap (sleeve at the pour); qty scaled by rooms (2 at the reference unit)</t>
  </si>
  <si>
    <t>Tankless electric water heater, 27 kW (two showers at once)</t>
  </si>
  <si>
    <t>fixed</t>
  </si>
  <si>
    <t>spec.sh.waterHeater tankless-electric — the only option today; in the mechanical closet, three 40 A circuits under Electrical</t>
  </si>
  <si>
    <t>Hose bib, frost-free, on the closet wall</t>
  </si>
  <si>
    <t>placeholder — docs/showerhouse-items.json gives no basis for this line; replace with a quote</t>
  </si>
  <si>
    <t>Main shut-off, inlet connection and backflow preventer</t>
  </si>
  <si>
    <t>1" inlet in the closet with a drain-down valve for winter</t>
  </si>
  <si>
    <t>Pipe insulation and heat tape (freeze protection)</t>
  </si>
  <si>
    <t>lot</t>
  </si>
  <si>
    <t>self-regulating heat tape on the inlet and the manifold, insulation on every exposed run; qty scaled by rooms (1 at the reference unit)</t>
  </si>
  <si>
    <t>Plumbing subtotal</t>
  </si>
  <si>
    <t>ELECTRICAL</t>
  </si>
  <si>
    <t>100 A panel, main breaker, grounding and power inlet</t>
  </si>
  <si>
    <t>surface panel in the mechanical closet; the feeder from the park pedestal is under Delivery and set (utility hookups)</t>
  </si>
  <si>
    <t>Branch circuits: lights, fans, receptacles, heater</t>
  </si>
  <si>
    <t>circuits</t>
  </si>
  <si>
    <t>3 per room (light + fan, GFCI, heater); conduit in the wall cavity is in the wall MEP allowance; qty scaled by rooms (6 at the reference unit)</t>
  </si>
  <si>
    <t>Water-heater circuits, 3 x 40 A</t>
  </si>
  <si>
    <t>the 27 kW tankless heater</t>
  </si>
  <si>
    <t>GFCI receptacles, weather-resistant</t>
  </si>
  <si>
    <t>one per room plus the closet; qty scaled by rooms (3 at the reference unit)</t>
  </si>
  <si>
    <t>Exhaust fan, humidity-sensing, ducted through the roof cap</t>
  </si>
  <si>
    <t>one per room; sleeve at the roof pour; qty scaled by rooms (2 at the reference unit)</t>
  </si>
  <si>
    <t>Interior LED fixtures, wet-rated</t>
  </si>
  <si>
    <t>one per room plus the closet; surface-mounted on the cast ceiling; qty scaled by rooms (3 at the reference unit)</t>
  </si>
  <si>
    <t>Exterior wall lights, photocell</t>
  </si>
  <si>
    <t>exteriorLights</t>
  </si>
  <si>
    <t>one at every door (spec.exterior.lightStyle none = 0); qty scaled by exteriorLights (3 at the reference unit)</t>
  </si>
  <si>
    <t>Wall heater, 240 V fan-forced with thermostat (freeze protection)</t>
  </si>
  <si>
    <t>one per room; spec.sh.heater; qty scaled by rooms (2 at the reference unit); counts only with the wall heater (yes / no above)</t>
  </si>
  <si>
    <t>Electrical subtotal</t>
  </si>
  <si>
    <t>FINISHES</t>
  </si>
  <si>
    <t>Cast shower base finish: grind, seal, drain flange, curb or roll-in edge</t>
  </si>
  <si>
    <t>the base is cast in the floor panel (slope and drain sleeve under Floor panel); this finishes it; qty scaled by rooms (2 at the reference unit)</t>
  </si>
  <si>
    <t>Shower wall tile over the cast walls, 3 sides to 84"</t>
  </si>
  <si>
    <t>spec.sh.showerFinish tile: ~75 sf of wetted wall per room (36 x 48 standard or 36 x 60 roll-in), waterproofing membrane + porcelain tile + epoxy grout; placeholder $/sf; qty scaled by rooms (150 at the reference unit); counts only for the tiled shower finish (Summary selector)</t>
  </si>
  <si>
    <t>Shower base tile and cove</t>
  </si>
  <si>
    <t>spec.sh.showerFinish tile: mosaic on the cast slope, coved; placeholder $/sf; qty scaled by rooms (30 at the reference unit); counts only for the tiled shower finish (Summary selector)</t>
  </si>
  <si>
    <t>Spray-in-place plastic coating, shower walls and base (wetted area)</t>
  </si>
  <si>
    <t>spec.sh.showerFinish spray: ~90 sf of wetted area per room (walls + base), polyurea / polyaspartic sprayed on the primed cast surface; placeholder $/sf; qty scaled by rooms (180 at the reference unit); counts only for the spray-coated shower finish (Summary selector)</t>
  </si>
  <si>
    <t>Skim coat and epoxy paint, interior face of the wall panels</t>
  </si>
  <si>
    <t>netWallSf</t>
  </si>
  <si>
    <t>net exterior-wall area; wet-area epoxy over one skim coat on the cast skin; qty scaled by netWallSf (415 at the reference unit)</t>
  </si>
  <si>
    <t>Partition faces, skim coat and epoxy paint</t>
  </si>
  <si>
    <t>demising wall + closet walls, both faces, 8' tall (~128 sf per room); qty scaled by rooms (256 at the reference unit)</t>
  </si>
  <si>
    <t>Ceiling paint (cast underside of the roof panel)</t>
  </si>
  <si>
    <t>inside area; qty scaled by sf (182.34 at the reference unit)</t>
  </si>
  <si>
    <t>Floor coating, epoxy / urethane over the cast floor, coved 4"</t>
  </si>
  <si>
    <t>inside area; slip-resistant broadcast; the shower areas are under the finish above; qty scaled by sf (182.34 at the reference unit)</t>
  </si>
  <si>
    <t>Mirror, paper holder, robe hooks, soap dish</t>
  </si>
  <si>
    <t>stainless, vandal-resistant; qty scaled by rooms (2 at the reference unit)</t>
  </si>
  <si>
    <t>Exterior colour coat on the cladding (wall colour other than natural grey)</t>
  </si>
  <si>
    <t>spec.exterior.wallColor: natural $0, else the basis $/sf; qty scaled by netWallSf (415 at the reference unit); exterior option "wallColor": $0 at the default look (natural grey / white membrane / flush door); type the basis rate here to price a colour or a door style</t>
  </si>
  <si>
    <t>Roof membrane colour (non-white)</t>
  </si>
  <si>
    <t>roofSf</t>
  </si>
  <si>
    <t>spec.exterior.roofColor: white $0, else the basis $/sf on the roof area; qty scaled by roofSf (252 at the reference unit); exterior option "roofColor": $0 at the default look (natural grey / white membrane / flush door); type the basis rate here to price a colour or a door style</t>
  </si>
  <si>
    <t>Finishes subtotal</t>
  </si>
  <si>
    <t>ACCESSIBILITY</t>
  </si>
  <si>
    <t>Grab bars, stainless: shower (2) and toilet (rear + side)</t>
  </si>
  <si>
    <t>accessibleRooms</t>
  </si>
  <si>
    <t>4 per accessible room, into cast-in blocking; qty scaled by accessibleRooms (4 at the reference unit)</t>
  </si>
  <si>
    <t>Fold-down shower seat</t>
  </si>
  <si>
    <t>one per accessible room; qty scaled by accessibleRooms (1 at the reference unit)</t>
  </si>
  <si>
    <t>Hand shower on a slide bar and roll-in threshold strip</t>
  </si>
  <si>
    <t>one per accessible room; the roll-in slope itself is cast in the floor panel; qty scaled by accessibleRooms (1 at the reference unit)</t>
  </si>
  <si>
    <t>ADA lavatory upcharge: knee clearance, insulated trap, lever faucet</t>
  </si>
  <si>
    <t>over the wall-hung lav under Plumbing; qty scaled by accessibleRooms (1 at the reference unit)</t>
  </si>
  <si>
    <t>Lever hardware set and 36" door upcharge</t>
  </si>
  <si>
    <t>set</t>
  </si>
  <si>
    <t>lever lockset, lever faucet trim; the 36" leaf over the 32" standard door; qty scaled by accessibleRooms (1 at the reference unit)</t>
  </si>
  <si>
    <t>Signage, door closer with reduced opening force</t>
  </si>
  <si>
    <t>tactile / braille sign, closer adjusted to 5 lbf; qty scaled by accessibleRooms (1 at the reference unit)</t>
  </si>
  <si>
    <t>Accessibility subtotal</t>
  </si>
  <si>
    <t>DOORS AND WINDOWS</t>
  </si>
  <si>
    <t>Exterior steel door, insulated, prehung, lockset</t>
  </si>
  <si>
    <t>doors</t>
  </si>
  <si>
    <t>one per room plus the mechanical closet; keyed or coin / code lock by the park; 36" accessible, 32" standard; qty scaled by doors (3 at the reference unit)</t>
  </si>
  <si>
    <t>Door closer, kick plate, weatherstrip and threshold</t>
  </si>
  <si>
    <t>every exterior door; qty scaled by doors (3 at the reference unit)</t>
  </si>
  <si>
    <t>Window 24 x 18, obscure glass, fixed / awning, high on the back wall</t>
  </si>
  <si>
    <t>windows</t>
  </si>
  <si>
    <t>one per room, high on the back wall (the plan places them 24 x 24 at sill 60) — light and venting, no view in; qty scaled by windows (2 at the reference unit)</t>
  </si>
  <si>
    <t>Jamb wrap and sills at the concrete openings</t>
  </si>
  <si>
    <t>openings</t>
  </si>
  <si>
    <t>qty scaled by openings (5 at the reference unit)</t>
  </si>
  <si>
    <t>Door style upcharge (craftsman / full-lite glass), per exterior door</t>
  </si>
  <si>
    <t>spec.exterior.doorStyle: flush $0, craftsman / glass from the basis; qty scaled by doors (3 at the reference unit); exterior option "doorStyle": $0 at the default look (natural grey / white membrane / flush door); type the basis rate here to price a colour or a door style</t>
  </si>
  <si>
    <t>Doors and windows subtotal</t>
  </si>
  <si>
    <t>DELIVERY AND SET</t>
  </si>
  <si>
    <t>Truck: flatbed / drop-deck, loaded miles</t>
  </si>
  <si>
    <t>basis showerhouse.shDeliveryMiles (placeholder distance) × $/loaded mile (placeholder) — one-way, the truck's own return is in the rate; qty scaled by miles (150 at the reference unit)</t>
  </si>
  <si>
    <t>Oversize permit and escort allowance</t>
  </si>
  <si>
    <t>counts only when the load needs a permit (facts.transport.permitClass); a pilot car would add ~$2/mile; counts only when the load needs an oversize permit (Skid tab transport class)</t>
  </si>
  <si>
    <t>Plant loading: forklift onto the trailer, chains and blocking</t>
  </si>
  <si>
    <t>the two pairs of fork pockets; yard forklift</t>
  </si>
  <si>
    <t>Crane and rigging at the site, set on the pad</t>
  </si>
  <si>
    <t>days</t>
  </si>
  <si>
    <t>mid-size hydraulic crane for the day, four-point pick on the lugs; crew hours for rigging, set and level (see facts.transport.cranePick); a forklift set on firm ground could replace it</t>
  </si>
  <si>
    <t>Tie-downs / ground anchors at the lugs</t>
  </si>
  <si>
    <t>screw anchors or pad bolts at the four corners</t>
  </si>
  <si>
    <t>Pad allowance: gravel base, levelled</t>
  </si>
  <si>
    <t>compacted gravel pad the size of the unit; a concrete pad or piers by the park is extra; qty scaled by sf (1 at the reference unit)</t>
  </si>
  <si>
    <t>Utility hookups allowance: water, sewer, power at the unit</t>
  </si>
  <si>
    <t>from the park's stubs at the unit — the runs to the stubs are the park's; no septic</t>
  </si>
  <si>
    <t>Delivery and set subtotal</t>
  </si>
  <si>
    <t>SOFT COSTS</t>
  </si>
  <si>
    <t>Engineering allowance (PE): skid, lifting lugs, panel connections, anchoring</t>
  </si>
  <si>
    <t>one letter covers a size; placeholder</t>
  </si>
  <si>
    <t>Permits / plan review allowance (state modular or local)</t>
  </si>
  <si>
    <t>varies by jurisdiction; a park's own permit is the park's</t>
  </si>
  <si>
    <t>Transit insurance and builder's risk</t>
  </si>
  <si>
    <t>Soft costs subtotal</t>
  </si>
  <si>
    <t>FIXTURES AND FINISHES TOTAL (materials + labor, before contingency)</t>
  </si>
  <si>
    <t>Fixture, finish, delivery and soft-cost line items of the shower house (docs/showerhouse.md), the sibling of house-items.json. Unit prices are US mid-grade PLACEHOLDERS typed on 2026-09-09 for order of magnitude, NOT quotes — every one has a basis note. material = $ per unit; laborHours = man-hours per unit at the basis loaded rate, or laborFlat = $ per unit for trades priced by the job. The walls, roof, floor panel and skid are NOT here: they are plant product priced by the engine (src/pricing/price.js, showerhouse.js).</t>
  </si>
  <si>
    <t>Excluded here and everywhere: the park's utility runs to the unit, septic, the concrete pad or piers (a gravel pad allowance is carried), sales tax, financing.</t>
  </si>
  <si>
    <t>Quantities computed by the engine (docs/showerhouse-takeoff.json) vs the Walls / Roof / Floor panel / Skid formulas</t>
  </si>
  <si>
    <t>generated 2026-09-13T01:10:27.136Z by scripts/showerhouse-takeoff.mjs for the 1 bath, accessible 12 × 14 unit: 1 bath, accessible 12 × 14 — 12' × 14' outside, 1 room (accessible) (flat roof, tile, painted); the Estimate column links to the formulas, Δ should be 0 for every row that has one while the Summary selectors are on 'flat' / tile / painted (the other roof moves the wall A, roof and weight rows on purpose)</t>
  </si>
  <si>
    <t>Model value</t>
  </si>
  <si>
    <t>Estimate</t>
  </si>
  <si>
    <t>Δ</t>
  </si>
  <si>
    <t>Exterior panels</t>
  </si>
  <si>
    <t>A 4, B 3, C 4, D 3; cut end panels A 24", C 24", B 25", D 25"</t>
  </si>
  <si>
    <t>Interior partition panels</t>
  </si>
  <si>
    <t>(rooms − 1) × panels across the inside width + the closet's</t>
  </si>
  <si>
    <t>Solid / door / window panels</t>
  </si>
  <si>
    <t>11 / 2 / 1</t>
  </si>
  <si>
    <t>A1 door 36x84, B0 door 32x84, C2 window 24x24</t>
  </si>
  <si>
    <t>Wall A height</t>
  </si>
  <si>
    <t>per the design selector (Roof tab)</t>
  </si>
  <si>
    <t>B/D run + 2 × 11.5</t>
  </si>
  <si>
    <t>the "sf" scale driver</t>
  </si>
  <si>
    <t>every panel at its own width</t>
  </si>
  <si>
    <t>Opening area</t>
  </si>
  <si>
    <t>doors + windows</t>
  </si>
  <si>
    <t>Net wall area</t>
  </si>
  <si>
    <t>Skin pour</t>
  </si>
  <si>
    <t>5" deep</t>
  </si>
  <si>
    <t>Cladding sheets</t>
  </si>
  <si>
    <t>2" thick</t>
  </si>
  <si>
    <t>Cavity fill</t>
  </si>
  <si>
    <t>4.5" deep</t>
  </si>
  <si>
    <t>Total cellular concrete, walls (neat)</t>
  </si>
  <si>
    <t>before waste</t>
  </si>
  <si>
    <t>Full studs</t>
  </si>
  <si>
    <t>Jamb studs</t>
  </si>
  <si>
    <t>door 36x84 sill 0 @ 96": 2/panel, cuts 12"; door 32x84 sill 0 @ 96": 2/panel, cuts 12"; window 24x24 sill 60 @ 96": 4/panel, cuts 12, 60"</t>
  </si>
  <si>
    <t>28 pcs, the cut panels at their width</t>
  </si>
  <si>
    <t>Top track (perimeter)</t>
  </si>
  <si>
    <t>outer footprint perimeter</t>
  </si>
  <si>
    <t>Track total</t>
  </si>
  <si>
    <t>Channel rows per panel (96" panels)</t>
  </si>
  <si>
    <t>stations [12, 60, 84]</t>
  </si>
  <si>
    <t>rows whose station lies inside an opening (sill..head) lose the span across the opening; the stubs each side remain</t>
  </si>
  <si>
    <t>a row station exactly on a sill/head counts as a crossing of the cripple ending there</t>
  </si>
  <si>
    <t>Screws, stud to track</t>
  </si>
  <si>
    <t>Screws, joints</t>
  </si>
  <si>
    <t>Screws, cladding</t>
  </si>
  <si>
    <t>Floor anchors</t>
  </si>
  <si>
    <t>2 per panel</t>
  </si>
  <si>
    <t>Mesh (no lap)</t>
  </si>
  <si>
    <t>2 layers × net sf</t>
  </si>
  <si>
    <t>MEP boxes</t>
  </si>
  <si>
    <t>12 outlet + 2 switch</t>
  </si>
  <si>
    <t>box to the top, or to the sill of the opening above it</t>
  </si>
  <si>
    <t>Drain</t>
  </si>
  <si>
    <t>to the top, or to the sill of a window over the drain line</t>
  </si>
  <si>
    <t>Supply</t>
  </si>
  <si>
    <t>4 slots × 96" (tallest panel)</t>
  </si>
  <si>
    <t>Edge form</t>
  </si>
  <si>
    <t>ROOF (roofTakeoff) — Roof tab</t>
  </si>
  <si>
    <t>flat 0.0625"/ft, 1 strips, 600S162-54</t>
  </si>
  <si>
    <t>Roof plan width (= the length over the roof)</t>
  </si>
  <si>
    <t>X + 2 × side overhang</t>
  </si>
  <si>
    <t>Roof plan depth (= the width over the roof)</t>
  </si>
  <si>
    <t>Z + 0 + 0</t>
  </si>
  <si>
    <t>Roof strips</t>
  </si>
  <si>
    <t>round(plan width / 13.33')</t>
  </si>
  <si>
    <t>Roof rise</t>
  </si>
  <si>
    <t>0 for flat</t>
  </si>
  <si>
    <t>Flat-design cap build-up (avg)</t>
  </si>
  <si>
    <t>Roof area (slope)</t>
  </si>
  <si>
    <t>Strip length</t>
  </si>
  <si>
    <t>sloped</t>
  </si>
  <si>
    <t>Roof studs per strip</t>
  </si>
  <si>
    <t>Roof stud length</t>
  </si>
  <si>
    <t>13 pcs</t>
  </si>
  <si>
    <t>Roof channel rows per strip</t>
  </si>
  <si>
    <t>Roof track</t>
  </si>
  <si>
    <t>Roof spacers (= crossings)</t>
  </si>
  <si>
    <t>Roof screws</t>
  </si>
  <si>
    <t>6.5" deep</t>
  </si>
  <si>
    <t>5" deep + the flat build-up</t>
  </si>
  <si>
    <t>Roof cellular concrete (neat)</t>
  </si>
  <si>
    <t>stack 11.5"</t>
  </si>
  <si>
    <t>Heaviest pick (one strip)</t>
  </si>
  <si>
    <t>Rake infill</t>
  </si>
  <si>
    <t>FLOOR PANEL — Floor panel tab</t>
  </si>
  <si>
    <t>the Option B plant panel on the skid</t>
  </si>
  <si>
    <t>Floor panel area</t>
  </si>
  <si>
    <t>outside footprint</t>
  </si>
  <si>
    <t>Floor panel perimeter</t>
  </si>
  <si>
    <t>ground pour + 4 psf steel</t>
  </si>
  <si>
    <t>Floor drains (plan)</t>
  </si>
  <si>
    <t>(36, 72), (127, 60) inside coordinates; one per room incl. the closet</t>
  </si>
  <si>
    <t>SKID (skidTakeoff) — Skid tab</t>
  </si>
  <si>
    <t>2 runners HSS 6x4x1/4, 5 cross members HSS 4x4x1/4, 4 pockets HSS 8x6x1/4</t>
  </si>
  <si>
    <t>Runner length, total</t>
  </si>
  <si>
    <t>stations [2, 50, 98, 146, 166]</t>
  </si>
  <si>
    <t>runners + cross members + pockets + lugs</t>
  </si>
  <si>
    <t>Steel surface (paint)</t>
  </si>
  <si>
    <t>TRANSPORT AND PICK — Skid tab</t>
  </si>
  <si>
    <t>permit</t>
  </si>
  <si>
    <t>Skid weight</t>
  </si>
  <si>
    <t>incl. the fixtures allowance</t>
  </si>
  <si>
    <t>Width over the roof</t>
  </si>
  <si>
    <t>ceiling 168"</t>
  </si>
  <si>
    <t>Height overall (skid bottom to roof top)</t>
  </si>
  <si>
    <t>22" deck</t>
  </si>
  <si>
    <t>What this is</t>
  </si>
  <si>
    <t>• A shower house (docs/showerhouse.md): a movable 1- or 2-bathroom unit on a steel skid for RV parks, campgrounds and job sites — full private rooms (shower, toilet, sink, lockable outside door), accessible or standard chosen per room, a 3 × 4 mechanical closet with the tankless electric water heater and the panel, forklift pockets and lifting lugs, cast floor drains, freeze protection, exterior lights. The same 4' cast cellular-concrete panels as the house, 96" tall, the same plant. This workbook prices the 1 bath, accessible 12 × 14 unit: 1 bath, accessible 12 × 14 — 12' × 14' outside, 1 room (accessible) — Shower house — 1 bath, accessible, 12' x 14' outside, flat roof, on a painted steel skid.</t>
  </si>
  <si>
    <t>• Selectors on the Summary: shower finish (tile / spray), skid finish (painted / galvanized), roof (flat / shed), the contingency % and the builder O&amp;P %. The rooms are blue inputs that drive the per-room lines, but the doors, windows and plumbing panels on the Walls tab are the plan's for this unit; another size or room count is priced in the configurator (Shower house product) and this workbook regenerated from it.</t>
  </si>
  <si>
    <t>What each tab is</t>
  </si>
  <si>
    <t>• Summary — the selectors, the cost by section in the engine's order (Wall panels sell · Walls built on site · Roof panels sell · Roof built on site · Floor panel sell · Steel skid sell · Plumbing · Electrical · Finishes · Accessibility · Doors and windows · Delivery and set · Soft costs), the subtotal, the contingency on the non-sell rows, the O&amp;P, the GRAND TOTAL, the info rows (manufacturing profit, overhead recovered, price per inside sf / per bathroom / per panel), the Transport block (width over the roof, length, height on a trailer, permit class, unit weight by part, pick weight, crane text), key quantities, basis and exclusions.</t>
  </si>
  <si>
    <t>• Walls — the house Walls structure for the 96" panels WITH the cut end panels: the inputs (blue, mirroring products.showerhouse in wall.config.json — panels along X / Z, the cut widths, the panel height, the openings), the derived quantities that reproduce the 3D model (every panel at its own width), the plant / site cost table, and the cast interior partition panels priced at this unit's average plant material and plant hours per exterior panel (the engine's interiorPanelLines). Wall A height is a green link from the Roof tab.</t>
  </si>
  <si>
    <t>• Roof — flat or shed per the selector on the 6" 600S162-54 studs, the overhangs past walls A / C pinned to 0 (Ken's 14' rule) and 6" past B / D; the roofTakeoff quantities and the cost table sided Plant / Site.</t>
  </si>
  <si>
    <t>• Floor panel — the Option B plant panel (docs/manufacturing-model.md §7: the roof design cast finish-up, ground pour only) on the skid: studs, track, channel, screws, mesh, spacers, inserts, liner, lumber and the framing / mesh / ground-pour labor at the roof productivities, PLUS the cast-ins per room (drain sleeve, supply sleeves, shower slope form), the floor-to-skid fasteners at every skid cross member and the yard hours to set it on the skid — every line Plant; no slab, no footings, no site crane.</t>
  </si>
  <si>
    <t>• Skid — skidTakeoff (src/geometry/skid.js) as formulas: runners (two; three over 150" outside), cross members every 48" incl. both ends, two pairs of fork pockets the full width, four rated lugs, tie-down rings; steel lb × $/lb, welding consumables and hours from the weld feet, prime-and-paint or hot-dip galvanizing on the steel surface per the selector, fabrication hours; every line Plant; the sell price from the Manufacturing tab. Below it the unit weight by part (unitWeightLb) and the transport / pick facts (transportFacts): width over the roof vs the 168" ceiling, length, height on a 22" deck, permit class, pick weight with rigging, the crane class and the crane text.</t>
  </si>
  <si>
    <t>• Manufacturing — the four products side by side (Walls / Roof / Floor panel / Skid / All): plant material, plant labor, plant hours, overhead allocation = hours × rate, plant cost, margin, SELL PRICE, sell and plant cost per unit (per exterior panel / per roof sf / per floor sf / per lb); the yard work totals; the capacity view (units per month, weeks of plant time per unit, monthly revenue / cost / overhead / profit).</t>
  </si>
  <si>
    <t>• Fixtures and finishes — docs/showerhouse-items.json: PLUMBING, ELECTRICAL, FINISHES, ACCESSIBILITY, DOORS AND WINDOWS, DELIVERY AND SET, SOFT COSTS. Every quantity = the reference quantity × (this unit's driver ÷ the reference driver) from the links block (rooms, accessible rooms, inside sf, perimeter, doors, windows, openings, net wall sf, roof sf, panels, exterior lights, miles), rounded for whole things; the tile / spray lines follow the Summary selector, the wall heaters the yes / no cell, the oversize permit the transport class. Yellow = placeholder unit prices and labor.</t>
  </si>
  <si>
    <t>• Model takeoff — every quantity from docs/estimate/models/takeoff/showerhouse-12x14-ada.json (the engine's numbers for the 1 bath, accessible 12 × 14 unit, flat design) beside the formula that should reproduce it, with a Δ column. All Δ = 0 while the Summary is on "flat"; switching the roof moves the wall A height, the roof rows and the weight / height rows on purpose.</t>
  </si>
  <si>
    <t>The width rule and the cut end panels (Ken, 9 Sep 2026)</t>
  </si>
  <si>
    <t>• The unit's total width, roof edge included, never exceeds 14'. Every width in this product is the OUTSIDE width over the cladding and the roof carries no overhang past the long walls. Along the length (walls A / C) the outside equals the panel run; across the width the outside = the B / D run + 23" (two 11.5" walls) and the inside width IS the run: 10' → 96" run (2 panels, 119" outside, 8'-0" inside); 12' → 121" (48 + 48 + a 25" cut end panel, 144", 10'-1"); 14' → 144" (3 panels, 167", 12'-0"). Lengths that are not a multiple of 4' cut walls A and C to 24". The cut panel is cast in the same bed with a movable end board — it has its own stud count (INT((width − flange) / spacing) + 2), channel, track and area, and the Walls tab counts it that way.</t>
  </si>
  <si>
    <t>• Transport: every offered width is over 8'6" and none over 14', so the class is always 'permit' (an oversize permit, no pilot car; state rules vary); the height on a 22" drop deck is ~11.3' for the flat roof. The engine throws and the audit refuses a config over 168" over the roof.</t>
  </si>
  <si>
    <t>PE caveat on the 6" roof studs</t>
  </si>
  <si>
    <t>• The product's roof strips use 600S162-54 studs (6" web, 54 mil, 16" o.c.) in the wall's 11.5" stack for the 10–12' span, so the roof stack is 2 + 1.5 + 6 + 2 = 11.5" and the floor panel's studs reach 9.5" below its finished top (the skid top sits there). The house roof keeps its 800S162-68. PE to confirm the 6" stud for the span and the 14' unit's 12' inside width; the roof-stud price is carried at the engine's $2.42/lf proxy (the 600S162-54 lists at $1.94/lf) — an open item that would lower the roof panel price a little.</t>
  </si>
  <si>
    <t>Manufacturing model (docs/manufacturing-model.md)</t>
  </si>
  <si>
    <t>• Every Walls and Roof cost line carries a Side — Plant (cast in the bed / yard) or Site (the yard assembly on the skid: top track, joint + cladding screws, floor anchors, cavity fill, MEP allowance, set / screw / wire / clad / pump labor, setting the partitions; roof top pour, rake infill, crane, membrane, top-pour and pick-day labor). The Floor panel and Skid tabs are all Plant. The Manufacturing tab prices the Plant lines as a product: plant cost = plant material + plant labor + plant hours × the overhead rate (monthly overhead ÷ monthly plant man-hours); sell price = plant cost × (1 + margin). The Summary buys the four at that price (whole price in Materials, no contingency) and carries the yard work, fixtures, delivery and soft costs at builder cost with contingency; builder O&amp;P applies to the whole.</t>
  </si>
  <si>
    <t>• Placeholders (yellow on the Manufacturing tab): shop/yard lease $3,000, equipment $2,500, utilities/insurance/consumables $1,500, supervision + admin $5,000 per month; 3-person crew × 160 h = 480 plant man-hours/month → $25.00 per plant man-hour; margin 20 %. Ken replaces the overhead.</t>
  </si>
  <si>
    <t>PLACEHOLDER WARNING</t>
  </si>
  <si>
    <t>• Only the cellular-concrete $/yd³ (Ken) and the wall steel list prices have a source. Every other yellow cell — the skid steel $/lb (A500 HSS, ~$1.85), lugs, tie-downs, welding, paint, galvanizing (~$9.50/sf ≈ $1/lb), the trailer deck, every fixture / finish / delivery / soft-cost price in docs/showerhouse-items.json (typed 2026-09-09), the delivery distance (150 miles), every labor hour and the $35/mh loaded rate — is a placeholder for order-of-magnitude only. Replace each with a quote before the numbers are shown as a budget. The skid member sizes (HSS 6x4x1/4 runners, 4x4x1/4 cross members, 8x6x1/4 pockets, 10,000-lb lugs) are placeholders for the PE.</t>
  </si>
  <si>
    <t>How to update</t>
  </si>
  <si>
    <t>• Change any blue input and the quantities recalculate; replace every yellow price with a quote; pick the finishes and the roof from the lists.</t>
  </si>
  <si>
    <t>• If the config, the plan or docs/showerhouse-items.json changes: run `node scripts/showerhouse-takeoff.mjs` then `python scripts/build-showerhouse-estimate.py` to regenerate this workbook (one preset: `--preset` on the takeoff, `--takeoff` / `--out` on the builder; `python scripts/build-all-estimates.py` does every model), then open it in Excel once (or recalc through Excel COM) so the cached values refresh. Verified against the engine (`node scripts/print-summary.mjs --product showerhouse`) row by row for the reference and the spray / galvanized / shed variants, and to the dollar for every preset by build-all-estimates.py. LibreOffice-safe functions only.</t>
  </si>
  <si>
    <t>Open items that move the numbers: PE sizing of the 6" roof studs and the skid members, the lug rating and the pick plan, the roof-stud price (list $1.94 vs the $2.42 proxy), the floor-anchor / panel-to-floor connection spec, the joint screw pattern, the cellular concrete supplier mix, galvanizing by weight, the delivery distance and the trailer, the pad or piers at the park, the park's utility stubs, the plan's openings for other sizes and room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</si>
</sst>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0"/>
    <numFmt numFmtId="165" formatCode="0.0"/>
    <numFmt numFmtId="166" formatCode="#,##0.0"/>
    <numFmt numFmtId="167" formatCode="\$#,##0"/>
    <numFmt numFmtId="168" formatCode="\$#,##0.00;\(\$#,##0.00\);\-"/>
    <numFmt numFmtId="169" formatCode="0\ &quot;panels&quot;"/>
    <numFmt numFmtId="170" formatCode="0\ &quot;interior&quot;"/>
    <numFmt numFmtId="171" formatCode="0.00\ &quot;ft&quot;"/>
    <numFmt numFmtId="172" formatCode="0\ &quot;in&quot;"/>
    <numFmt numFmtId="173" formatCode="#,##0\ &quot;sf&quot;"/>
    <numFmt numFmtId="174" formatCode="#,##0\ &quot;sf net&quot;"/>
    <numFmt numFmtId="175" formatCode="#,##0.0\ &quot;yd³&quot;"/>
    <numFmt numFmtId="176" formatCode="0\ &quot;pcs&quot;"/>
    <numFmt numFmtId="177" formatCode="#,##0\ &quot;lf&quot;"/>
    <numFmt numFmtId="178" formatCode="\$#,##0\ &quot;yard&quot;"/>
    <numFmt numFmtId="179" formatCode="0.0000"/>
    <numFmt numFmtId="180" formatCode="0.000"/>
    <numFmt numFmtId="181" formatCode="0.00\ &quot;h/unit&quot;"/>
    <numFmt numFmtId="182" formatCode="\$#,##0\ &quot;flat/unit&quot;"/>
    <numFmt numFmtId="183" formatCode="0.0%"/>
    <numFmt numFmtId="184" formatCode="#,##0.0\ &quot;sf&quot;"/>
    <numFmt numFmtId="185" formatCode="0.0\ &quot;in overall&quot;"/>
    <numFmt numFmtId="186" formatCode="#,##0\ &quot;lb&quot;"/>
    <numFmt numFmtId="187" formatCode="#,##0\ &quot;lb roof&quot;"/>
    <numFmt numFmtId="188" formatCode="#,##0\ &quot;lb skid&quot;"/>
    <numFmt numFmtId="189" formatCode="#,##0.0\ &quot;yd³ roof&quot;"/>
    <numFmt numFmtId="190" formatCode="#,##0.0\ &quot;yd³ floor&quot;"/>
    <numFmt numFmtId="191" formatCode="0\ &quot;strips&quot;"/>
    <numFmt numFmtId="192" formatCode="#,##0.0\ &quot;ft weld&quot;"/>
    <numFmt numFmtId="193" formatCode="#,##0.0\ &quot;h&quot;"/>
    <numFmt numFmtId="194" formatCode="0.000\ &quot;units/mo&quot;"/>
    <numFmt numFmtId="195" formatCode="\$#,##0\ &quot;/panel&quot;"/>
    <numFmt numFmtId="196" formatCode="\$#,##0.00\ &quot;/sf&quot;"/>
    <numFmt numFmtId="197" formatCode="\$#,##0.00\ &quot;/lb&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4">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6" fillId="0" borderId="1" xfId="0" applyNumberFormat="1" applyFont="1" applyBorder="1"/>
    <xf numFmtId="184" fontId="6" fillId="0" borderId="1" xfId="0" applyNumberFormat="1" applyFont="1" applyBorder="1"/>
    <xf numFmtId="171" fontId="6" fillId="0" borderId="1" xfId="0" applyNumberFormat="1" applyFont="1" applyBorder="1"/>
    <xf numFmtId="49" fontId="6" fillId="0" borderId="0" xfId="0" applyNumberFormat="1" applyFont="1"/>
    <xf numFmtId="185" fontId="6" fillId="0" borderId="0" xfId="0" applyNumberFormat="1" applyFont="1"/>
    <xf numFmtId="49" fontId="6" fillId="0" borderId="1" xfId="0" applyNumberFormat="1" applyFont="1" applyBorder="1"/>
    <xf numFmtId="186" fontId="6" fillId="0" borderId="1" xfId="0" applyNumberFormat="1" applyFont="1" applyBorder="1"/>
    <xf numFmtId="187" fontId="6" fillId="0" borderId="0" xfId="0" applyNumberFormat="1" applyFont="1"/>
    <xf numFmtId="188" fontId="6" fillId="0" borderId="0" xfId="0" applyNumberFormat="1" applyFont="1"/>
    <xf numFmtId="171" fontId="6" fillId="0" borderId="0" xfId="0" applyNumberFormat="1" applyFont="1"/>
    <xf numFmtId="169" fontId="6" fillId="0" borderId="1" xfId="0" applyNumberFormat="1" applyFont="1" applyBorder="1"/>
    <xf numFmtId="170" fontId="6" fillId="0" borderId="0" xfId="0" applyNumberFormat="1" applyFont="1"/>
    <xf numFmtId="172" fontId="6" fillId="0" borderId="1" xfId="0" applyNumberFormat="1" applyFont="1" applyBorder="1"/>
    <xf numFmtId="173" fontId="6" fillId="0" borderId="1" xfId="0" applyNumberFormat="1" applyFont="1" applyBorder="1"/>
    <xf numFmtId="174" fontId="6" fillId="0" borderId="0" xfId="0" applyNumberFormat="1" applyFont="1"/>
    <xf numFmtId="175" fontId="6" fillId="0" borderId="1" xfId="0" applyNumberFormat="1" applyFont="1" applyBorder="1"/>
    <xf numFmtId="189" fontId="6" fillId="0" borderId="0" xfId="0" applyNumberFormat="1" applyFont="1"/>
    <xf numFmtId="190" fontId="6" fillId="0" borderId="0" xfId="0" applyNumberFormat="1" applyFont="1"/>
    <xf numFmtId="191" fontId="6" fillId="0" borderId="0" xfId="0" applyNumberFormat="1" applyFont="1"/>
    <xf numFmtId="192" fontId="6" fillId="0" borderId="0" xfId="0" applyNumberFormat="1" applyFont="1"/>
    <xf numFmtId="184" fontId="6" fillId="0" borderId="0" xfId="0" applyNumberFormat="1" applyFont="1"/>
    <xf numFmtId="193" fontId="6" fillId="0" borderId="1" xfId="0" applyNumberFormat="1" applyFont="1" applyBorder="1"/>
    <xf numFmtId="194" fontId="6" fillId="0" borderId="0" xfId="0" applyNumberFormat="1" applyFont="1"/>
    <xf numFmtId="195" fontId="6" fillId="0" borderId="1" xfId="0" applyNumberFormat="1" applyFont="1" applyBorder="1"/>
    <xf numFmtId="196" fontId="6" fillId="0" borderId="0" xfId="0" applyNumberFormat="1" applyFont="1"/>
    <xf numFmtId="196" fontId="6" fillId="0" borderId="1" xfId="0" applyNumberFormat="1" applyFont="1" applyBorder="1"/>
    <xf numFmtId="197" fontId="6" fillId="0" borderId="0" xfId="0" applyNumberFormat="1" applyFont="1"/>
    <xf numFmtId="0" fontId="1" fillId="0" borderId="0" xfId="0" applyFont="1"/>
    <xf numFmtId="169" fontId="7" fillId="0" borderId="1" xfId="0" applyNumberFormat="1" applyFont="1" applyBorder="1"/>
    <xf numFmtId="170" fontId="13" fillId="0" borderId="0" xfId="0" applyNumberFormat="1" applyFont="1"/>
    <xf numFmtId="171"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13" fillId="0" borderId="0" xfId="0" applyNumberFormat="1" applyFont="1"/>
    <xf numFmtId="175" fontId="7" fillId="0" borderId="1" xfId="0" applyNumberFormat="1" applyFont="1" applyBorder="1"/>
    <xf numFmtId="175" fontId="13" fillId="0" borderId="0" xfId="0" applyNumberFormat="1" applyFont="1"/>
    <xf numFmtId="176" fontId="7" fillId="0" borderId="1" xfId="0" applyNumberFormat="1" applyFont="1" applyBorder="1"/>
    <xf numFmtId="177" fontId="13" fillId="0" borderId="0" xfId="0" applyNumberFormat="1" applyFont="1"/>
    <xf numFmtId="167" fontId="7" fillId="0" borderId="1" xfId="0" applyNumberFormat="1" applyFont="1" applyBorder="1"/>
    <xf numFmtId="178"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1" fontId="4" fillId="0" borderId="1" xfId="0" applyNumberFormat="1" applyFont="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6" fillId="0" borderId="0" xfId="0" applyNumberFormat="1" applyFont="1"/>
    <xf numFmtId="167" fontId="13" fillId="0" borderId="0" xfId="0" applyNumberFormat="1" applyFont="1"/>
    <xf numFmtId="179" fontId="4" fillId="0" borderId="1" xfId="0" applyNumberFormat="1" applyFont="1" applyBorder="1"/>
    <xf numFmtId="179" fontId="5" fillId="0" borderId="1" xfId="0" applyNumberFormat="1" applyFont="1" applyBorder="1"/>
    <xf numFmtId="2" fontId="6" fillId="0" borderId="1" xfId="0" applyNumberFormat="1" applyFont="1" applyBorder="1"/>
    <xf numFmtId="165" fontId="6" fillId="0" borderId="1" xfId="0" applyNumberFormat="1" applyFont="1" applyBorder="1"/>
    <xf numFmtId="2" fontId="5" fillId="0" borderId="1" xfId="0" applyNumberFormat="1" applyFont="1" applyBorder="1"/>
    <xf numFmtId="3"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3"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6" fillId="0" borderId="1" xfId="0" applyNumberFormat="1" applyFont="1" applyBorder="1"/>
    <xf numFmtId="180" fontId="4" fillId="0" borderId="1" xfId="0" applyNumberFormat="1" applyFont="1" applyBorder="1"/>
    <xf numFmtId="181" fontId="5" fillId="3" borderId="1" xfId="0" applyNumberFormat="1" applyFont="1" applyFill="1" applyBorder="1"/>
    <xf numFmtId="166" fontId="5" fillId="0" borderId="1" xfId="0" applyNumberFormat="1" applyFont="1" applyBorder="1"/>
    <xf numFmtId="182" fontId="5" fillId="3" borderId="1" xfId="0" applyNumberFormat="1" applyFont="1" applyFill="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workbookViewId="0">
      <pane ySplit="4" topLeftCell="A5" activePane="bottomLeft" state="frozen"/>
      <selection pane="bottomLeft"/>
    </sheetView>
  </sheetViews>
  <sheetFormatPr defaultRowHeight="14.4" x14ac:dyDescent="0.3"/>
  <cols>
    <col min="1" max="1" width="58"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7" t="s">
        <v>17</v>
      </c>
      <c r="C8" s="2" t="s">
        <v>18</v>
      </c>
    </row>
    <row r="9" spans="1:7" x14ac:dyDescent="0.3">
      <c r="A9" s="6" t="s">
        <v>19</v>
      </c>
      <c r="B9" s="8">
        <v>0.1</v>
      </c>
      <c r="C9" s="2" t="s">
        <v>20</v>
      </c>
    </row>
    <row r="10" spans="1:7" x14ac:dyDescent="0.3">
      <c r="A10" s="6" t="s">
        <v>21</v>
      </c>
      <c r="B10" s="8">
        <v>0.15</v>
      </c>
      <c r="C10" s="2" t="s">
        <v>22</v>
      </c>
    </row>
    <row r="11" spans="1:7" x14ac:dyDescent="0.3">
      <c r="A11" s="6" t="s">
        <v>23</v>
      </c>
      <c r="B11" s="9">
        <v>1</v>
      </c>
      <c r="C11" s="2" t="s">
        <v>24</v>
      </c>
    </row>
    <row r="12" spans="1:7" x14ac:dyDescent="0.3">
      <c r="A12" s="6" t="s">
        <v>25</v>
      </c>
      <c r="B12" s="9">
        <v>1</v>
      </c>
      <c r="C12" s="2" t="s">
        <v>26</v>
      </c>
    </row>
    <row r="13" spans="1:7" x14ac:dyDescent="0.3">
      <c r="A13" s="2" t="s">
        <v>27</v>
      </c>
      <c r="C13" s="10" t="str">
        <f>"Wall heater "&amp;'Fixtures and finishes'!$B$8&amp;", "&amp;'Fixtures and finishes'!$B$10&amp;" miles"</f>
        <v>Wall heater yes, 150 miles</v>
      </c>
    </row>
    <row r="15" spans="1:7" x14ac:dyDescent="0.3">
      <c r="A15" s="4" t="s">
        <v>28</v>
      </c>
      <c r="B15" s="5"/>
      <c r="C15" s="5"/>
      <c r="D15" s="5"/>
      <c r="E15" s="5"/>
      <c r="F15" s="5"/>
      <c r="G15" s="5"/>
    </row>
    <row r="16" spans="1:7" x14ac:dyDescent="0.3">
      <c r="A16" s="11" t="s">
        <v>29</v>
      </c>
      <c r="B16" s="11" t="s">
        <v>30</v>
      </c>
      <c r="C16" s="11" t="s">
        <v>31</v>
      </c>
      <c r="D16" s="11" t="s">
        <v>32</v>
      </c>
      <c r="E16" s="11" t="s">
        <v>33</v>
      </c>
      <c r="F16" s="11" t="s">
        <v>34</v>
      </c>
      <c r="G16" s="11" t="s">
        <v>35</v>
      </c>
    </row>
    <row r="17" spans="1:7" x14ac:dyDescent="0.3">
      <c r="A17" s="3" t="s">
        <v>36</v>
      </c>
      <c r="B17" s="12">
        <f>Manufacturing!$B$32</f>
        <v>11686.443451146386</v>
      </c>
      <c r="C17" s="12">
        <f>0</f>
        <v>0</v>
      </c>
      <c r="D17" s="13">
        <f t="shared" ref="D17:D29" si="0">B17+C17</f>
        <v>11686.443451146386</v>
      </c>
      <c r="E17" s="14">
        <f t="shared" ref="E17:E33" si="1">D17/$B$39</f>
        <v>95.916093300944979</v>
      </c>
      <c r="F17" s="15">
        <f t="shared" ref="F17:F33" si="2">IF($D$33=0,0,D17/$D$33)</f>
        <v>0.14144556814685549</v>
      </c>
      <c r="G17" s="2" t="s">
        <v>37</v>
      </c>
    </row>
    <row r="18" spans="1:7" x14ac:dyDescent="0.3">
      <c r="A18" s="3" t="s">
        <v>38</v>
      </c>
      <c r="B18" s="12">
        <f>Walls!$H$275</f>
        <v>1651.5976296296294</v>
      </c>
      <c r="C18" s="12">
        <f>Walls!$I$275</f>
        <v>2605.3935185185182</v>
      </c>
      <c r="D18" s="13">
        <f t="shared" si="0"/>
        <v>4256.9911481481477</v>
      </c>
      <c r="E18" s="14">
        <f t="shared" si="1"/>
        <v>34.939112301700391</v>
      </c>
      <c r="F18" s="15">
        <f t="shared" si="2"/>
        <v>5.1524018754130284E-2</v>
      </c>
      <c r="G18" s="2" t="s">
        <v>39</v>
      </c>
    </row>
    <row r="19" spans="1:7" x14ac:dyDescent="0.3">
      <c r="A19" s="3" t="str">
        <f>IF(Summary!$B$8="shed","Roof panels (shed), manufactured — sell price","Roof panels (flat), manufactured — sell price")</f>
        <v>Roof panels (flat), manufactured — sell price</v>
      </c>
      <c r="B19" s="12">
        <f>Manufacturing!$C$32</f>
        <v>4715.434666666667</v>
      </c>
      <c r="C19" s="12">
        <f>0</f>
        <v>0</v>
      </c>
      <c r="D19" s="13">
        <f t="shared" si="0"/>
        <v>4715.434666666667</v>
      </c>
      <c r="E19" s="14">
        <f t="shared" si="1"/>
        <v>38.701772128811633</v>
      </c>
      <c r="F19" s="15">
        <f t="shared" si="2"/>
        <v>5.7072738876823764E-2</v>
      </c>
      <c r="G19" s="2" t="s">
        <v>40</v>
      </c>
    </row>
    <row r="20" spans="1:7" x14ac:dyDescent="0.3">
      <c r="A20" s="3" t="str">
        <f>IF(Summary!$B$8="shed","Roof (shed), site work (yard: top pour, membrane, set)","Roof (flat), site work (yard: top pour, membrane, set)")</f>
        <v>Roof (flat), site work (yard: top pour, membrane, set)</v>
      </c>
      <c r="B20" s="12">
        <f>Roof!$H$115</f>
        <v>3662.6388888888887</v>
      </c>
      <c r="C20" s="12">
        <f>Roof!$I$115</f>
        <v>1349.9305555555557</v>
      </c>
      <c r="D20" s="13">
        <f t="shared" si="0"/>
        <v>5012.5694444444443</v>
      </c>
      <c r="E20" s="14">
        <f t="shared" si="1"/>
        <v>41.1404958677686</v>
      </c>
      <c r="F20" s="15">
        <f t="shared" si="2"/>
        <v>6.0669076602211429E-2</v>
      </c>
      <c r="G20" s="2" t="s">
        <v>41</v>
      </c>
    </row>
    <row r="21" spans="1:7" x14ac:dyDescent="0.3">
      <c r="A21" s="3" t="s">
        <v>42</v>
      </c>
      <c r="B21" s="12">
        <f>Manufacturing!$D$32</f>
        <v>5286.2787555555542</v>
      </c>
      <c r="C21" s="12">
        <f>0</f>
        <v>0</v>
      </c>
      <c r="D21" s="13">
        <f t="shared" si="0"/>
        <v>5286.2787555555542</v>
      </c>
      <c r="E21" s="14">
        <f t="shared" si="1"/>
        <v>43.386955873468217</v>
      </c>
      <c r="F21" s="15">
        <f t="shared" si="2"/>
        <v>6.3981886797976992E-2</v>
      </c>
      <c r="G21" s="2" t="s">
        <v>43</v>
      </c>
    </row>
    <row r="22" spans="1:7" x14ac:dyDescent="0.3">
      <c r="A22" s="3" t="str">
        <f>"Steel skid ("&amp;Summary!$B$7&amp;"), manufactured — sell price"</f>
        <v>Steel skid (painted), manufactured — sell price</v>
      </c>
      <c r="B22" s="12">
        <f>Manufacturing!$E$32</f>
        <v>8395.8833333333314</v>
      </c>
      <c r="C22" s="12">
        <f>0</f>
        <v>0</v>
      </c>
      <c r="D22" s="13">
        <f t="shared" si="0"/>
        <v>8395.8833333333314</v>
      </c>
      <c r="E22" s="14">
        <f t="shared" si="1"/>
        <v>68.908931319464216</v>
      </c>
      <c r="F22" s="15">
        <f t="shared" si="2"/>
        <v>0.10161863984902555</v>
      </c>
      <c r="G22" s="2" t="s">
        <v>44</v>
      </c>
    </row>
    <row r="23" spans="1:7" x14ac:dyDescent="0.3">
      <c r="A23" s="3" t="s">
        <v>45</v>
      </c>
      <c r="B23" s="12">
        <f>'Fixtures and finishes'!$F$63</f>
        <v>3350</v>
      </c>
      <c r="C23" s="12">
        <f>'Fixtures and finishes'!$H$63</f>
        <v>1015</v>
      </c>
      <c r="D23" s="13">
        <f t="shared" si="0"/>
        <v>4365</v>
      </c>
      <c r="E23" s="14">
        <f t="shared" si="1"/>
        <v>35.825591336563129</v>
      </c>
      <c r="F23" s="15">
        <f t="shared" si="2"/>
        <v>5.2831291876097614E-2</v>
      </c>
      <c r="G23" s="2" t="s">
        <v>46</v>
      </c>
    </row>
    <row r="24" spans="1:7" x14ac:dyDescent="0.3">
      <c r="A24" s="3" t="s">
        <v>47</v>
      </c>
      <c r="B24" s="12">
        <f>'Fixtures and finishes'!$F$75</f>
        <v>2355</v>
      </c>
      <c r="C24" s="12">
        <f>'Fixtures and finishes'!$H$75</f>
        <v>1067.5</v>
      </c>
      <c r="D24" s="13">
        <f t="shared" si="0"/>
        <v>3422.5</v>
      </c>
      <c r="E24" s="14">
        <f t="shared" si="1"/>
        <v>28.09005414648048</v>
      </c>
      <c r="F24" s="15">
        <f t="shared" si="2"/>
        <v>4.1423847983034154E-2</v>
      </c>
      <c r="G24" s="2" t="s">
        <v>48</v>
      </c>
    </row>
    <row r="25" spans="1:7" x14ac:dyDescent="0.3">
      <c r="A25" s="3" t="s">
        <v>49</v>
      </c>
      <c r="B25" s="12">
        <f>'Fixtures and finishes'!$F$90</f>
        <v>2922.8520833333332</v>
      </c>
      <c r="C25" s="12">
        <f>'Fixtures and finishes'!$H$90</f>
        <v>4043.6861111111111</v>
      </c>
      <c r="D25" s="13">
        <f t="shared" si="0"/>
        <v>6966.5381944444443</v>
      </c>
      <c r="E25" s="14">
        <f t="shared" si="1"/>
        <v>57.177628954117985</v>
      </c>
      <c r="F25" s="15">
        <f t="shared" si="2"/>
        <v>8.4318719980910992E-2</v>
      </c>
      <c r="G25" s="2" t="s">
        <v>50</v>
      </c>
    </row>
    <row r="26" spans="1:7" x14ac:dyDescent="0.3">
      <c r="A26" s="3" t="s">
        <v>51</v>
      </c>
      <c r="B26" s="12">
        <f>'Fixtures and finishes'!$F$100</f>
        <v>1100</v>
      </c>
      <c r="C26" s="12">
        <f>'Fixtures and finishes'!$H$100</f>
        <v>262.5</v>
      </c>
      <c r="D26" s="13">
        <f t="shared" si="0"/>
        <v>1362.5</v>
      </c>
      <c r="E26" s="14">
        <f t="shared" si="1"/>
        <v>11.182673126246794</v>
      </c>
      <c r="F26" s="15">
        <f t="shared" si="2"/>
        <v>1.6490867166364949E-2</v>
      </c>
      <c r="G26" s="2" t="s">
        <v>52</v>
      </c>
    </row>
    <row r="27" spans="1:7" x14ac:dyDescent="0.3">
      <c r="A27" s="3" t="s">
        <v>53</v>
      </c>
      <c r="B27" s="12">
        <f>'Fixtures and finishes'!$F$109</f>
        <v>2280</v>
      </c>
      <c r="C27" s="12">
        <f>'Fixtures and finishes'!$H$109</f>
        <v>490</v>
      </c>
      <c r="D27" s="13">
        <f t="shared" si="0"/>
        <v>2770</v>
      </c>
      <c r="E27" s="14">
        <f t="shared" si="1"/>
        <v>22.734682245654035</v>
      </c>
      <c r="F27" s="15">
        <f t="shared" si="2"/>
        <v>3.352638682629791E-2</v>
      </c>
      <c r="G27" s="2" t="s">
        <v>54</v>
      </c>
    </row>
    <row r="28" spans="1:7" x14ac:dyDescent="0.3">
      <c r="A28" s="3" t="s">
        <v>55</v>
      </c>
      <c r="B28" s="12">
        <f>'Fixtures and finishes'!$F$120</f>
        <v>4825.9222697524765</v>
      </c>
      <c r="C28" s="12">
        <f>'Fixtures and finishes'!$H$120</f>
        <v>1282.281513168318</v>
      </c>
      <c r="D28" s="13">
        <f t="shared" si="0"/>
        <v>6108.2037829207948</v>
      </c>
      <c r="E28" s="14">
        <f t="shared" si="1"/>
        <v>50.132878013143035</v>
      </c>
      <c r="F28" s="15">
        <f t="shared" si="2"/>
        <v>7.392996492420896E-2</v>
      </c>
      <c r="G28" s="2" t="s">
        <v>56</v>
      </c>
    </row>
    <row r="29" spans="1:7" x14ac:dyDescent="0.3">
      <c r="A29" s="3" t="s">
        <v>57</v>
      </c>
      <c r="B29" s="12">
        <f>'Fixtures and finishes'!$F$127</f>
        <v>3700</v>
      </c>
      <c r="C29" s="12">
        <f>'Fixtures and finishes'!$H$127</f>
        <v>0</v>
      </c>
      <c r="D29" s="13">
        <f t="shared" si="0"/>
        <v>3700</v>
      </c>
      <c r="E29" s="14">
        <f t="shared" si="1"/>
        <v>30.367626104303223</v>
      </c>
      <c r="F29" s="15">
        <f t="shared" si="2"/>
        <v>4.4782538360036921E-2</v>
      </c>
      <c r="G29" s="2" t="s">
        <v>58</v>
      </c>
    </row>
    <row r="30" spans="1:7" x14ac:dyDescent="0.3">
      <c r="A30" s="16" t="s">
        <v>59</v>
      </c>
      <c r="B30" s="17">
        <f>SUM(B17:B29)</f>
        <v>55932.051078306264</v>
      </c>
      <c r="C30" s="17">
        <f>SUM(C17:C29)</f>
        <v>12116.291698353503</v>
      </c>
      <c r="D30" s="17">
        <f>SUM(D17:D29)</f>
        <v>68048.342776659774</v>
      </c>
      <c r="E30" s="18">
        <f t="shared" si="1"/>
        <v>558.50449471866671</v>
      </c>
      <c r="F30" s="19">
        <f t="shared" si="2"/>
        <v>0.82361554614397503</v>
      </c>
      <c r="G30" s="20"/>
    </row>
    <row r="31" spans="1:7" x14ac:dyDescent="0.3">
      <c r="A31" s="21" t="s">
        <v>60</v>
      </c>
      <c r="B31" s="13">
        <f>(B30-B17-B19-B21-B22)*Summary!$B$9</f>
        <v>2584.8010871604329</v>
      </c>
      <c r="C31" s="13">
        <f>(C30-C17-C19-C21-C22)*Summary!$B$9</f>
        <v>1211.6291698353505</v>
      </c>
      <c r="D31" s="13">
        <f>B31+C31</f>
        <v>3796.4302569957836</v>
      </c>
      <c r="E31" s="22">
        <f t="shared" si="1"/>
        <v>31.159074209597769</v>
      </c>
      <c r="F31" s="23">
        <f t="shared" si="2"/>
        <v>4.5949671247329328E-2</v>
      </c>
      <c r="G31" s="2" t="s">
        <v>61</v>
      </c>
    </row>
    <row r="32" spans="1:7" x14ac:dyDescent="0.3">
      <c r="A32" s="21" t="s">
        <v>62</v>
      </c>
      <c r="D32" s="13">
        <f>(D30+D31)*Summary!$B$10</f>
        <v>10776.715955048332</v>
      </c>
      <c r="E32" s="22">
        <f t="shared" si="1"/>
        <v>88.449535339239659</v>
      </c>
      <c r="F32" s="23">
        <f t="shared" si="2"/>
        <v>0.13043478260869565</v>
      </c>
      <c r="G32" s="2" t="s">
        <v>63</v>
      </c>
    </row>
    <row r="33" spans="1:7" ht="15.6" x14ac:dyDescent="0.3">
      <c r="A33" s="24" t="s">
        <v>64</v>
      </c>
      <c r="B33" s="25">
        <f>B30+B31</f>
        <v>58516.852165466698</v>
      </c>
      <c r="C33" s="25">
        <f>C30+C31</f>
        <v>13327.920868188854</v>
      </c>
      <c r="D33" s="26">
        <f>D30+D31+D32</f>
        <v>82621.488988703888</v>
      </c>
      <c r="E33" s="27">
        <f t="shared" si="1"/>
        <v>678.11310426750413</v>
      </c>
      <c r="F33" s="28">
        <f t="shared" si="2"/>
        <v>1</v>
      </c>
      <c r="G33" s="29" t="s">
        <v>65</v>
      </c>
    </row>
    <row r="34" spans="1:7" x14ac:dyDescent="0.3">
      <c r="A34" s="2" t="s">
        <v>66</v>
      </c>
      <c r="D34" s="12">
        <f>Manufacturing!$F$31</f>
        <v>5014.0067011169904</v>
      </c>
      <c r="G34" s="2" t="s">
        <v>67</v>
      </c>
    </row>
    <row r="35" spans="1:7" x14ac:dyDescent="0.3">
      <c r="A35" s="2" t="s">
        <v>68</v>
      </c>
      <c r="D35" s="12">
        <f>Manufacturing!$F$28</f>
        <v>4786.6227954144624</v>
      </c>
      <c r="G35" s="2" t="s">
        <v>69</v>
      </c>
    </row>
    <row r="36" spans="1:7" x14ac:dyDescent="0.3">
      <c r="A36" s="2" t="s">
        <v>70</v>
      </c>
      <c r="D36" s="30">
        <f>D33/Walls!$B$106</f>
        <v>678.11310426750413</v>
      </c>
      <c r="G36" s="2" t="s">
        <v>71</v>
      </c>
    </row>
    <row r="37" spans="1:7" x14ac:dyDescent="0.3">
      <c r="A37" s="2" t="s">
        <v>72</v>
      </c>
      <c r="D37" s="30">
        <f>D33/Summary!$B$11</f>
        <v>82621.488988703888</v>
      </c>
      <c r="G37" s="2" t="s">
        <v>73</v>
      </c>
    </row>
    <row r="38" spans="1:7" x14ac:dyDescent="0.3">
      <c r="A38" s="2" t="s">
        <v>74</v>
      </c>
      <c r="D38" s="30">
        <f>D33/Walls!$B$86</f>
        <v>5901.5349277645637</v>
      </c>
      <c r="G38" s="2" t="s">
        <v>75</v>
      </c>
    </row>
    <row r="39" spans="1:7" x14ac:dyDescent="0.3">
      <c r="A39" s="21" t="s">
        <v>76</v>
      </c>
      <c r="B39" s="31">
        <f>Walls!$B$106</f>
        <v>121.84027777777777</v>
      </c>
      <c r="G39" s="2" t="s">
        <v>77</v>
      </c>
    </row>
    <row r="41" spans="1:7" x14ac:dyDescent="0.3">
      <c r="A41" s="4" t="s">
        <v>78</v>
      </c>
      <c r="B41" s="5"/>
      <c r="C41" s="5"/>
      <c r="D41" s="5"/>
      <c r="E41" s="5"/>
      <c r="F41" s="5"/>
      <c r="G41" s="5"/>
    </row>
    <row r="42" spans="1:7" x14ac:dyDescent="0.3">
      <c r="A42" s="21" t="s">
        <v>79</v>
      </c>
      <c r="B42" s="32">
        <f>Skid!$B$106</f>
        <v>12</v>
      </c>
      <c r="C42" s="33" t="str">
        <f>Skid!$B$107</f>
        <v>OK — within 168"</v>
      </c>
      <c r="G42" s="2" t="s">
        <v>80</v>
      </c>
    </row>
    <row r="43" spans="1:7" x14ac:dyDescent="0.3">
      <c r="A43" s="21" t="s">
        <v>81</v>
      </c>
      <c r="B43" s="32">
        <f>Skid!$B$109</f>
        <v>15</v>
      </c>
      <c r="G43" s="2" t="s">
        <v>82</v>
      </c>
    </row>
    <row r="44" spans="1:7" x14ac:dyDescent="0.3">
      <c r="A44" s="21" t="s">
        <v>83</v>
      </c>
      <c r="B44" s="32">
        <f>Skid!$B$112</f>
        <v>11.291666666666666</v>
      </c>
      <c r="C44" s="34">
        <f>Skid!$B$110</f>
        <v>113.5</v>
      </c>
      <c r="G44" s="2" t="s">
        <v>84</v>
      </c>
    </row>
    <row r="45" spans="1:7" x14ac:dyDescent="0.3">
      <c r="A45" s="21" t="s">
        <v>85</v>
      </c>
      <c r="B45" s="35" t="str">
        <f>Skid!$B$113</f>
        <v>permit</v>
      </c>
      <c r="C45" s="33" t="str">
        <f>Skid!$B$114</f>
        <v>Over 8'6" wide but no more than 14' over the roof: an oversize permit, no pilot car (state rules vary).</v>
      </c>
      <c r="G45" s="2" t="s">
        <v>86</v>
      </c>
    </row>
    <row r="46" spans="1:7" x14ac:dyDescent="0.3">
      <c r="A46" s="21" t="s">
        <v>87</v>
      </c>
      <c r="B46" s="36">
        <f>Skid!$B$101</f>
        <v>26076.319444444445</v>
      </c>
      <c r="G46" s="2" t="s">
        <v>88</v>
      </c>
    </row>
    <row r="47" spans="1:7" x14ac:dyDescent="0.3">
      <c r="A47" s="21" t="s">
        <v>89</v>
      </c>
      <c r="B47" s="36">
        <f>Skid!$B$96</f>
        <v>11844.444444444443</v>
      </c>
      <c r="C47" s="37">
        <f>Skid!$B$97</f>
        <v>6954.375</v>
      </c>
      <c r="G47" s="2"/>
    </row>
    <row r="48" spans="1:7" x14ac:dyDescent="0.3">
      <c r="A48" s="21" t="s">
        <v>90</v>
      </c>
      <c r="B48" s="36">
        <f>Skid!$B$98</f>
        <v>3857</v>
      </c>
      <c r="C48" s="38">
        <f>Skid!$B$99</f>
        <v>2220.5</v>
      </c>
      <c r="G48" s="2"/>
    </row>
    <row r="49" spans="1:7" x14ac:dyDescent="0.3">
      <c r="A49" s="21" t="s">
        <v>91</v>
      </c>
      <c r="B49" s="36">
        <f>Skid!$B$102</f>
        <v>27380.135416666668</v>
      </c>
      <c r="G49" s="2" t="s">
        <v>92</v>
      </c>
    </row>
    <row r="50" spans="1:7" ht="43.95" customHeight="1" x14ac:dyDescent="0.3">
      <c r="A50" s="21" t="s">
        <v>93</v>
      </c>
      <c r="B50" s="123" t="str">
        <f>Skid!$B$117</f>
        <v>Four-point pick on the corner lugs with a spreader bar (lugs rated 10,000 lb each); ~27,380 lb with rigging — plan on a 35-ton-class hydraulic crane at a 25–30 ft radius (placeholder rule: 2.5 x the load), or the two pairs of fork pockets with a forklift rated well over 28,000 lb on firm ground.</v>
      </c>
      <c r="C50" s="122"/>
      <c r="D50" s="122"/>
      <c r="E50" s="122"/>
      <c r="F50" s="122"/>
      <c r="G50" s="122"/>
    </row>
    <row r="52" spans="1:7" x14ac:dyDescent="0.3">
      <c r="A52" s="4" t="s">
        <v>94</v>
      </c>
      <c r="B52" s="5"/>
      <c r="C52" s="5"/>
      <c r="D52" s="5"/>
      <c r="E52" s="5"/>
      <c r="F52" s="5"/>
      <c r="G52" s="5"/>
    </row>
    <row r="53" spans="1:7" x14ac:dyDescent="0.3">
      <c r="A53" s="21" t="s">
        <v>95</v>
      </c>
      <c r="B53" s="32">
        <f>Walls!$B$104/12</f>
        <v>14</v>
      </c>
      <c r="C53" s="39">
        <f>Walls!$B$105/12</f>
        <v>12</v>
      </c>
      <c r="G53" s="2" t="s">
        <v>96</v>
      </c>
    </row>
    <row r="54" spans="1:7" x14ac:dyDescent="0.3">
      <c r="A54" s="21" t="s">
        <v>97</v>
      </c>
      <c r="B54" s="40">
        <f>Walls!$B$86</f>
        <v>14</v>
      </c>
      <c r="C54" s="41">
        <f>Walls!$B$203</f>
        <v>2</v>
      </c>
      <c r="G54" s="2" t="s">
        <v>98</v>
      </c>
    </row>
    <row r="55" spans="1:7" x14ac:dyDescent="0.3">
      <c r="A55" s="21" t="s">
        <v>99</v>
      </c>
      <c r="B55" s="42">
        <f>Walls!$B$20</f>
        <v>96</v>
      </c>
      <c r="G55" s="2" t="s">
        <v>100</v>
      </c>
    </row>
    <row r="56" spans="1:7" x14ac:dyDescent="0.3">
      <c r="A56" s="21" t="s">
        <v>101</v>
      </c>
      <c r="B56" s="43">
        <f>Walls!$B$110</f>
        <v>385.33333333333331</v>
      </c>
      <c r="C56" s="44">
        <f>Walls!$B$112</f>
        <v>341.66666666666663</v>
      </c>
      <c r="G56" s="2" t="s">
        <v>102</v>
      </c>
    </row>
    <row r="57" spans="1:7" x14ac:dyDescent="0.3">
      <c r="A57" s="21" t="s">
        <v>103</v>
      </c>
      <c r="B57" s="45">
        <f>Walls!$B$193</f>
        <v>12.127057613168724</v>
      </c>
      <c r="C57" s="46">
        <f>Roof!$B$82+Roof!$B$84</f>
        <v>6.5972222222222223</v>
      </c>
      <c r="D57" s="47">
        <f>'Floor panel'!$B$49/(1+Walls!$B$67)</f>
        <v>3.3703703703703702</v>
      </c>
      <c r="G57" s="2" t="s">
        <v>104</v>
      </c>
    </row>
    <row r="58" spans="1:7" x14ac:dyDescent="0.3">
      <c r="A58" s="21" t="s">
        <v>105</v>
      </c>
      <c r="B58" s="31">
        <f>Roof!$B$70</f>
        <v>180</v>
      </c>
      <c r="C58" s="48">
        <f>Roof!$B$65</f>
        <v>1</v>
      </c>
      <c r="G58" s="2" t="s">
        <v>106</v>
      </c>
    </row>
    <row r="59" spans="1:7" x14ac:dyDescent="0.3">
      <c r="A59" s="21" t="s">
        <v>107</v>
      </c>
      <c r="B59" s="36">
        <f>Skid!$B$58</f>
        <v>2220.5</v>
      </c>
      <c r="C59" s="49">
        <f>Skid!$B$59</f>
        <v>37.333333333333336</v>
      </c>
      <c r="D59" s="50">
        <f>Skid!$B$60</f>
        <v>239.55555555555557</v>
      </c>
      <c r="G59" s="2" t="s">
        <v>108</v>
      </c>
    </row>
    <row r="60" spans="1:7" x14ac:dyDescent="0.3">
      <c r="A60" s="21" t="s">
        <v>109</v>
      </c>
      <c r="B60" s="51">
        <f>Manufacturing!$B$43</f>
        <v>191.46491181657848</v>
      </c>
      <c r="C60" s="52">
        <f>Manufacturing!$B$44</f>
        <v>2.5069867655951255</v>
      </c>
      <c r="G60" s="2" t="s">
        <v>110</v>
      </c>
    </row>
    <row r="61" spans="1:7" x14ac:dyDescent="0.3">
      <c r="A61" s="21" t="s">
        <v>111</v>
      </c>
      <c r="B61" s="53">
        <f>Manufacturing!$B$33</f>
        <v>834.74596079617038</v>
      </c>
      <c r="C61" s="54">
        <f>Manufacturing!$C$33</f>
        <v>26.196859259259263</v>
      </c>
      <c r="G61" s="2" t="s">
        <v>112</v>
      </c>
    </row>
    <row r="62" spans="1:7" x14ac:dyDescent="0.3">
      <c r="A62" s="21" t="s">
        <v>113</v>
      </c>
      <c r="B62" s="55">
        <f>Manufacturing!$D$33</f>
        <v>31.465944973544964</v>
      </c>
      <c r="C62" s="56">
        <f>Manufacturing!$E$33</f>
        <v>3.7810778353223742</v>
      </c>
      <c r="G62" s="2"/>
    </row>
    <row r="64" spans="1:7" x14ac:dyDescent="0.3">
      <c r="A64" s="4" t="s">
        <v>114</v>
      </c>
      <c r="B64" s="5"/>
      <c r="C64" s="5"/>
      <c r="D64" s="5"/>
      <c r="E64" s="5"/>
      <c r="F64" s="5"/>
      <c r="G64" s="5"/>
    </row>
    <row r="65" spans="1:7" ht="54" customHeight="1" x14ac:dyDescent="0.3">
      <c r="A65" s="121" t="s">
        <v>115</v>
      </c>
      <c r="B65" s="122"/>
      <c r="C65" s="122"/>
      <c r="D65" s="122"/>
      <c r="E65" s="122"/>
      <c r="F65" s="122"/>
      <c r="G65" s="122"/>
    </row>
    <row r="66" spans="1:7" ht="54" customHeight="1" x14ac:dyDescent="0.3">
      <c r="A66" s="121" t="s">
        <v>116</v>
      </c>
      <c r="B66" s="122"/>
      <c r="C66" s="122"/>
      <c r="D66" s="122"/>
      <c r="E66" s="122"/>
      <c r="F66" s="122"/>
      <c r="G66" s="122"/>
    </row>
    <row r="67" spans="1:7" ht="54" customHeight="1" x14ac:dyDescent="0.3">
      <c r="A67" s="121" t="s">
        <v>117</v>
      </c>
      <c r="B67" s="122"/>
      <c r="C67" s="122"/>
      <c r="D67" s="122"/>
      <c r="E67" s="122"/>
      <c r="F67" s="122"/>
      <c r="G67" s="122"/>
    </row>
    <row r="68" spans="1:7" ht="54" customHeight="1" x14ac:dyDescent="0.3">
      <c r="A68" s="121" t="s">
        <v>118</v>
      </c>
      <c r="B68" s="122"/>
      <c r="C68" s="122"/>
      <c r="D68" s="122"/>
      <c r="E68" s="122"/>
      <c r="F68" s="122"/>
      <c r="G68" s="122"/>
    </row>
    <row r="69" spans="1:7" x14ac:dyDescent="0.3">
      <c r="A69" s="2" t="s">
        <v>119</v>
      </c>
    </row>
  </sheetData>
  <mergeCells count="5">
    <mergeCell ref="A66:G66"/>
    <mergeCell ref="A67:G67"/>
    <mergeCell ref="B50:G50"/>
    <mergeCell ref="A65:G65"/>
    <mergeCell ref="A68:G68"/>
  </mergeCells>
  <dataValidations count="3">
    <dataValidation type="list" sqref="B6" xr:uid="{00000000-0002-0000-0000-000000000000}">
      <formula1>"tile,spray"</formula1>
    </dataValidation>
    <dataValidation type="list" sqref="B7" xr:uid="{00000000-0002-0000-0000-000001000000}">
      <formula1>"painted,galvanized"</formula1>
    </dataValidation>
    <dataValidation type="list" sqref="B8" xr:uid="{00000000-0002-0000-0000-000002000000}">
      <formula1>"flat,shed"</formula1>
    </dataValidation>
  </dataValidations>
  <hyperlinks>
    <hyperlink ref="A3" location="'Walls'!A1" display="Walls →" xr:uid="{00000000-0004-0000-0000-000000000000}"/>
    <hyperlink ref="B3" location="'Roof'!A1" display="Roof →" xr:uid="{00000000-0004-0000-0000-000001000000}"/>
    <hyperlink ref="C3" location="'Floor panel'!A1" display="Floor panel →" xr:uid="{00000000-0004-0000-0000-000002000000}"/>
    <hyperlink ref="D3" location="'Skid'!A1" display="Skid →" xr:uid="{00000000-0004-0000-0000-000003000000}"/>
    <hyperlink ref="E3" location="'Manufacturing'!A1" display="Manufacturing →" xr:uid="{00000000-0004-0000-0000-000004000000}"/>
    <hyperlink ref="F3" location="'Fixtures and finishes'!A1" display="Fixtures →" xr:uid="{00000000-0004-0000-0000-000005000000}"/>
    <hyperlink ref="G3" location="'Model takeoff'!A1" display="Model takeoff →" xr:uid="{00000000-0004-0000-0000-000006000000}"/>
    <hyperlink ref="A17" location="'Manufacturing'!A1" display="Wall panels, manufactured — sell price" xr:uid="{00000000-0004-0000-0000-000007000000}"/>
    <hyperlink ref="A18" location="'Walls'!A1" display="Walls, site work (yard assembly on the skid)" xr:uid="{00000000-0004-0000-0000-000008000000}"/>
    <hyperlink ref="A19" location="'Manufacturing'!A1" display="'Manufacturing'!A1" xr:uid="{00000000-0004-0000-0000-000009000000}"/>
    <hyperlink ref="A20" location="'Roof'!A1" display="'Roof'!A1" xr:uid="{00000000-0004-0000-0000-00000A000000}"/>
    <hyperlink ref="A21" location="'Floor panel'!A1" display="Floor panel on the skid, manufactured — sell price" xr:uid="{00000000-0004-0000-0000-00000B000000}"/>
    <hyperlink ref="A22" location="'Skid'!A1" display="'Skid'!A1" xr:uid="{00000000-0004-0000-0000-00000C000000}"/>
    <hyperlink ref="A23" location="'Fixtures and finishes'!A1" display="Plumbing" xr:uid="{00000000-0004-0000-0000-00000D000000}"/>
    <hyperlink ref="A24" location="'Fixtures and finishes'!A1" display="Electrical" xr:uid="{00000000-0004-0000-0000-00000E000000}"/>
    <hyperlink ref="A25" location="'Fixtures and finishes'!A1" display="Finishes" xr:uid="{00000000-0004-0000-0000-00000F000000}"/>
    <hyperlink ref="A26" location="'Fixtures and finishes'!A1" display="Accessibility" xr:uid="{00000000-0004-0000-0000-000010000000}"/>
    <hyperlink ref="A27" location="'Fixtures and finishes'!A1" display="Doors and windows" xr:uid="{00000000-0004-0000-0000-000011000000}"/>
    <hyperlink ref="A28" location="'Fixtures and finishes'!A1" display="Delivery and set" xr:uid="{00000000-0004-0000-0000-000012000000}"/>
    <hyperlink ref="A29" location="'Fixtures and finishes'!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1"/>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57" t="s">
        <v>120</v>
      </c>
    </row>
    <row r="2" spans="1:11" x14ac:dyDescent="0.3">
      <c r="A2" s="2" t="s">
        <v>121</v>
      </c>
    </row>
    <row r="3" spans="1:11" x14ac:dyDescent="0.3">
      <c r="A3" s="2" t="s">
        <v>122</v>
      </c>
    </row>
    <row r="4" spans="1:11" x14ac:dyDescent="0.3">
      <c r="H4" s="3" t="s">
        <v>123</v>
      </c>
    </row>
    <row r="5" spans="1:11" x14ac:dyDescent="0.3">
      <c r="A5" s="4" t="s">
        <v>124</v>
      </c>
      <c r="B5" s="5"/>
      <c r="C5" s="5"/>
      <c r="D5" s="5"/>
      <c r="E5" s="5"/>
      <c r="F5" s="5"/>
      <c r="G5" s="5"/>
      <c r="H5" s="5"/>
      <c r="I5" s="5"/>
      <c r="J5" s="5"/>
      <c r="K5" s="5"/>
    </row>
    <row r="6" spans="1:11" x14ac:dyDescent="0.3">
      <c r="A6" s="6" t="s">
        <v>97</v>
      </c>
      <c r="B6" s="58">
        <f>$B$86</f>
        <v>14</v>
      </c>
      <c r="C6" s="59">
        <f>$B$203</f>
        <v>2</v>
      </c>
      <c r="D6" s="2" t="s">
        <v>125</v>
      </c>
    </row>
    <row r="7" spans="1:11" x14ac:dyDescent="0.3">
      <c r="A7" s="6" t="s">
        <v>95</v>
      </c>
      <c r="B7" s="60">
        <f>$B$104/12</f>
        <v>14</v>
      </c>
      <c r="C7" s="61">
        <f>$B$105/12</f>
        <v>12</v>
      </c>
      <c r="D7" s="2" t="s">
        <v>126</v>
      </c>
    </row>
    <row r="8" spans="1:11" x14ac:dyDescent="0.3">
      <c r="A8" s="6" t="s">
        <v>99</v>
      </c>
      <c r="B8" s="62">
        <f>$B$20</f>
        <v>96</v>
      </c>
      <c r="D8" s="2" t="s">
        <v>127</v>
      </c>
    </row>
    <row r="9" spans="1:11" x14ac:dyDescent="0.3">
      <c r="A9" s="6" t="s">
        <v>128</v>
      </c>
      <c r="B9" s="63">
        <f>$B$110</f>
        <v>385.33333333333331</v>
      </c>
      <c r="C9" s="64">
        <f>$B$112</f>
        <v>341.66666666666663</v>
      </c>
      <c r="D9" s="2" t="s">
        <v>129</v>
      </c>
    </row>
    <row r="10" spans="1:11" x14ac:dyDescent="0.3">
      <c r="A10" s="6" t="s">
        <v>130</v>
      </c>
      <c r="B10" s="65">
        <f>$B$193</f>
        <v>12.127057613168724</v>
      </c>
      <c r="C10" s="66">
        <f>$B$194</f>
        <v>13.339763374485598</v>
      </c>
      <c r="D10" s="2" t="s">
        <v>131</v>
      </c>
    </row>
    <row r="11" spans="1:11" x14ac:dyDescent="0.3">
      <c r="A11" s="6" t="s">
        <v>132</v>
      </c>
      <c r="B11" s="67">
        <f>$B$171</f>
        <v>60</v>
      </c>
      <c r="C11" s="68">
        <f>$B$175</f>
        <v>432</v>
      </c>
      <c r="D11" s="2" t="s">
        <v>133</v>
      </c>
    </row>
    <row r="12" spans="1:11" x14ac:dyDescent="0.3">
      <c r="A12" s="6" t="s">
        <v>134</v>
      </c>
      <c r="B12" s="69">
        <f>$J$270</f>
        <v>11853.89067313345</v>
      </c>
      <c r="D12" s="2" t="s">
        <v>135</v>
      </c>
    </row>
    <row r="13" spans="1:11" x14ac:dyDescent="0.3">
      <c r="A13" s="6" t="s">
        <v>136</v>
      </c>
      <c r="B13" s="69">
        <f>$J$273</f>
        <v>7596.8995249853033</v>
      </c>
      <c r="C13" s="70">
        <f>$J$275</f>
        <v>4256.9911481481477</v>
      </c>
      <c r="D13" s="2" t="s">
        <v>137</v>
      </c>
    </row>
    <row r="15" spans="1:11" x14ac:dyDescent="0.3">
      <c r="A15" s="4" t="s">
        <v>138</v>
      </c>
      <c r="B15" s="5"/>
      <c r="C15" s="5"/>
      <c r="D15" s="5"/>
      <c r="E15" s="5"/>
      <c r="F15" s="5"/>
      <c r="G15" s="5"/>
      <c r="H15" s="5"/>
      <c r="I15" s="5"/>
      <c r="J15" s="5"/>
      <c r="K15" s="5"/>
    </row>
    <row r="16" spans="1:11" x14ac:dyDescent="0.3">
      <c r="A16" s="21" t="s">
        <v>139</v>
      </c>
      <c r="B16" s="71">
        <v>4</v>
      </c>
      <c r="C16" s="2" t="s">
        <v>140</v>
      </c>
      <c r="D16" s="2" t="s">
        <v>141</v>
      </c>
    </row>
    <row r="17" spans="1:4" x14ac:dyDescent="0.3">
      <c r="A17" s="21" t="s">
        <v>142</v>
      </c>
      <c r="B17" s="71">
        <v>3</v>
      </c>
      <c r="C17" s="2" t="s">
        <v>140</v>
      </c>
      <c r="D17" s="2" t="s">
        <v>143</v>
      </c>
    </row>
    <row r="18" spans="1:4" x14ac:dyDescent="0.3">
      <c r="A18" s="21" t="s">
        <v>144</v>
      </c>
      <c r="B18" s="71">
        <v>48</v>
      </c>
      <c r="C18" s="2" t="s">
        <v>145</v>
      </c>
      <c r="D18" s="2" t="s">
        <v>146</v>
      </c>
    </row>
    <row r="19" spans="1:4" x14ac:dyDescent="0.3">
      <c r="A19" s="21" t="s">
        <v>147</v>
      </c>
      <c r="B19" s="71">
        <v>96</v>
      </c>
      <c r="C19" s="2" t="s">
        <v>145</v>
      </c>
      <c r="D19" s="2" t="s">
        <v>148</v>
      </c>
    </row>
    <row r="20" spans="1:4" x14ac:dyDescent="0.3">
      <c r="A20" s="21" t="s">
        <v>149</v>
      </c>
      <c r="B20" s="72">
        <f>Roof!$B$61</f>
        <v>96</v>
      </c>
      <c r="C20" s="2" t="s">
        <v>145</v>
      </c>
      <c r="D20" s="2" t="s">
        <v>150</v>
      </c>
    </row>
    <row r="21" spans="1:4" x14ac:dyDescent="0.3">
      <c r="A21" s="21" t="s">
        <v>151</v>
      </c>
      <c r="B21" s="71">
        <v>24</v>
      </c>
      <c r="C21" s="2" t="s">
        <v>145</v>
      </c>
      <c r="D21" s="2" t="s">
        <v>152</v>
      </c>
    </row>
    <row r="22" spans="1:4" x14ac:dyDescent="0.3">
      <c r="A22" s="21" t="s">
        <v>153</v>
      </c>
      <c r="B22" s="71">
        <v>25</v>
      </c>
      <c r="C22" s="2" t="s">
        <v>145</v>
      </c>
      <c r="D22" s="2" t="s">
        <v>154</v>
      </c>
    </row>
    <row r="23" spans="1:4" x14ac:dyDescent="0.3">
      <c r="A23" s="21" t="s">
        <v>155</v>
      </c>
      <c r="B23" s="71">
        <v>2</v>
      </c>
      <c r="C23" s="2" t="s">
        <v>145</v>
      </c>
      <c r="D23" s="2"/>
    </row>
    <row r="24" spans="1:4" x14ac:dyDescent="0.3">
      <c r="A24" s="21" t="s">
        <v>156</v>
      </c>
      <c r="B24" s="71">
        <v>1.5</v>
      </c>
      <c r="C24" s="2" t="s">
        <v>145</v>
      </c>
      <c r="D24" s="2" t="s">
        <v>157</v>
      </c>
    </row>
    <row r="25" spans="1:4" x14ac:dyDescent="0.3">
      <c r="A25" s="21" t="s">
        <v>158</v>
      </c>
      <c r="B25" s="71">
        <v>6</v>
      </c>
      <c r="C25" s="2" t="s">
        <v>145</v>
      </c>
      <c r="D25" s="2"/>
    </row>
    <row r="26" spans="1:4" x14ac:dyDescent="0.3">
      <c r="A26" s="21" t="s">
        <v>159</v>
      </c>
      <c r="B26" s="71">
        <v>2</v>
      </c>
      <c r="C26" s="2" t="s">
        <v>145</v>
      </c>
      <c r="D26" s="2" t="s">
        <v>160</v>
      </c>
    </row>
    <row r="27" spans="1:4" x14ac:dyDescent="0.3">
      <c r="A27" s="21" t="s">
        <v>161</v>
      </c>
      <c r="B27" s="71">
        <v>5</v>
      </c>
      <c r="C27" s="2" t="s">
        <v>145</v>
      </c>
      <c r="D27" s="2" t="s">
        <v>162</v>
      </c>
    </row>
    <row r="28" spans="1:4" x14ac:dyDescent="0.3">
      <c r="A28" s="21" t="s">
        <v>163</v>
      </c>
      <c r="B28" s="71">
        <v>16</v>
      </c>
      <c r="C28" s="2" t="s">
        <v>164</v>
      </c>
      <c r="D28" s="2"/>
    </row>
    <row r="29" spans="1:4" x14ac:dyDescent="0.3">
      <c r="A29" s="21" t="s">
        <v>165</v>
      </c>
      <c r="B29" s="71">
        <v>1.625</v>
      </c>
      <c r="C29" s="2" t="s">
        <v>145</v>
      </c>
      <c r="D29" s="2" t="s">
        <v>166</v>
      </c>
    </row>
    <row r="30" spans="1:4" x14ac:dyDescent="0.3">
      <c r="A30" s="21" t="s">
        <v>167</v>
      </c>
      <c r="B30" s="71">
        <v>48</v>
      </c>
      <c r="C30" s="2" t="s">
        <v>145</v>
      </c>
      <c r="D30" s="2" t="s">
        <v>168</v>
      </c>
    </row>
    <row r="31" spans="1:4" x14ac:dyDescent="0.3">
      <c r="A31" s="21" t="s">
        <v>169</v>
      </c>
      <c r="B31" s="71">
        <v>12</v>
      </c>
      <c r="C31" s="2" t="s">
        <v>145</v>
      </c>
      <c r="D31" s="2"/>
    </row>
    <row r="32" spans="1:4" x14ac:dyDescent="0.3">
      <c r="A32" s="21" t="s">
        <v>170</v>
      </c>
      <c r="B32" s="71">
        <v>2</v>
      </c>
      <c r="C32" s="2" t="s">
        <v>171</v>
      </c>
      <c r="D32" s="2" t="s">
        <v>172</v>
      </c>
    </row>
    <row r="33" spans="1:11" x14ac:dyDescent="0.3">
      <c r="A33" s="21" t="s">
        <v>173</v>
      </c>
      <c r="B33" s="71">
        <v>2</v>
      </c>
      <c r="C33" s="2" t="s">
        <v>140</v>
      </c>
      <c r="D33" s="2"/>
    </row>
    <row r="34" spans="1:11" x14ac:dyDescent="0.3">
      <c r="A34" s="21" t="s">
        <v>174</v>
      </c>
      <c r="B34" s="7">
        <v>4</v>
      </c>
      <c r="C34" s="2" t="s">
        <v>140</v>
      </c>
      <c r="D34" s="2" t="s">
        <v>175</v>
      </c>
    </row>
    <row r="35" spans="1:11" x14ac:dyDescent="0.3">
      <c r="A35" s="21" t="s">
        <v>176</v>
      </c>
      <c r="B35" s="71">
        <v>8</v>
      </c>
      <c r="C35" s="2" t="s">
        <v>140</v>
      </c>
      <c r="D35" s="2" t="s">
        <v>177</v>
      </c>
    </row>
    <row r="36" spans="1:11" x14ac:dyDescent="0.3">
      <c r="A36" s="21" t="s">
        <v>178</v>
      </c>
      <c r="B36" s="7">
        <v>12</v>
      </c>
      <c r="C36" s="2" t="s">
        <v>140</v>
      </c>
      <c r="D36" s="2" t="s">
        <v>179</v>
      </c>
    </row>
    <row r="37" spans="1:11" x14ac:dyDescent="0.3">
      <c r="A37" s="21" t="s">
        <v>180</v>
      </c>
      <c r="B37" s="71">
        <v>2</v>
      </c>
      <c r="C37" s="2" t="s">
        <v>140</v>
      </c>
      <c r="D37" s="2" t="s">
        <v>181</v>
      </c>
    </row>
    <row r="38" spans="1:11" x14ac:dyDescent="0.3">
      <c r="A38" s="21" t="s">
        <v>182</v>
      </c>
      <c r="B38" s="71">
        <v>1</v>
      </c>
      <c r="C38" s="2" t="s">
        <v>140</v>
      </c>
      <c r="D38" s="2" t="s">
        <v>183</v>
      </c>
    </row>
    <row r="39" spans="1:11" x14ac:dyDescent="0.3">
      <c r="A39" s="21" t="s">
        <v>184</v>
      </c>
      <c r="B39" s="71">
        <v>16</v>
      </c>
      <c r="C39" s="2" t="s">
        <v>145</v>
      </c>
      <c r="D39" s="2" t="s">
        <v>185</v>
      </c>
    </row>
    <row r="40" spans="1:11" x14ac:dyDescent="0.3">
      <c r="A40" s="21" t="s">
        <v>186</v>
      </c>
      <c r="B40" s="71">
        <v>48</v>
      </c>
      <c r="C40" s="2" t="s">
        <v>145</v>
      </c>
      <c r="D40" s="2"/>
    </row>
    <row r="41" spans="1:11" x14ac:dyDescent="0.3">
      <c r="A41" s="21" t="s">
        <v>187</v>
      </c>
      <c r="B41" s="71">
        <v>1</v>
      </c>
      <c r="C41" s="2" t="s">
        <v>140</v>
      </c>
      <c r="D41" s="2" t="s">
        <v>188</v>
      </c>
    </row>
    <row r="42" spans="1:11" x14ac:dyDescent="0.3">
      <c r="A42" s="21" t="s">
        <v>189</v>
      </c>
      <c r="B42" s="71">
        <v>4</v>
      </c>
      <c r="C42" s="2" t="s">
        <v>140</v>
      </c>
      <c r="D42" s="2" t="s">
        <v>190</v>
      </c>
    </row>
    <row r="43" spans="1:11" x14ac:dyDescent="0.3">
      <c r="A43" s="21" t="s">
        <v>191</v>
      </c>
      <c r="B43" s="73">
        <f>Summary!$B$11</f>
        <v>1</v>
      </c>
      <c r="C43" s="2" t="s">
        <v>192</v>
      </c>
      <c r="D43" s="2" t="s">
        <v>193</v>
      </c>
    </row>
    <row r="44" spans="1:11" x14ac:dyDescent="0.3">
      <c r="A44" s="21" t="s">
        <v>194</v>
      </c>
      <c r="B44" s="71">
        <v>84</v>
      </c>
      <c r="C44" s="2" t="s">
        <v>145</v>
      </c>
      <c r="D44" s="2" t="s">
        <v>195</v>
      </c>
    </row>
    <row r="46" spans="1:11" x14ac:dyDescent="0.3">
      <c r="A46" s="4" t="s">
        <v>196</v>
      </c>
      <c r="B46" s="5"/>
      <c r="C46" s="5"/>
      <c r="D46" s="5"/>
      <c r="E46" s="5"/>
      <c r="F46" s="5"/>
      <c r="G46" s="5"/>
      <c r="H46" s="5"/>
      <c r="I46" s="5"/>
      <c r="J46" s="5"/>
      <c r="K46" s="5"/>
    </row>
    <row r="47" spans="1:11" x14ac:dyDescent="0.3">
      <c r="A47" s="21" t="s">
        <v>197</v>
      </c>
      <c r="B47" s="71">
        <v>1</v>
      </c>
      <c r="C47" s="2" t="s">
        <v>140</v>
      </c>
      <c r="D47" s="2" t="s">
        <v>198</v>
      </c>
    </row>
    <row r="48" spans="1:11" x14ac:dyDescent="0.3">
      <c r="A48" s="21" t="s">
        <v>199</v>
      </c>
      <c r="B48" s="71">
        <v>36</v>
      </c>
      <c r="C48" s="2" t="s">
        <v>145</v>
      </c>
      <c r="D48" s="2"/>
    </row>
    <row r="49" spans="1:11" x14ac:dyDescent="0.3">
      <c r="A49" s="21" t="s">
        <v>200</v>
      </c>
      <c r="B49" s="71">
        <v>84</v>
      </c>
      <c r="C49" s="2" t="s">
        <v>145</v>
      </c>
      <c r="D49" s="2"/>
    </row>
    <row r="50" spans="1:11" x14ac:dyDescent="0.3">
      <c r="A50" s="21" t="s">
        <v>201</v>
      </c>
      <c r="B50" s="71">
        <v>0</v>
      </c>
      <c r="C50" s="2" t="s">
        <v>145</v>
      </c>
      <c r="D50" s="2" t="s">
        <v>202</v>
      </c>
    </row>
    <row r="51" spans="1:11" x14ac:dyDescent="0.3">
      <c r="A51" s="21" t="s">
        <v>197</v>
      </c>
      <c r="B51" s="71">
        <v>1</v>
      </c>
      <c r="C51" s="2" t="s">
        <v>140</v>
      </c>
      <c r="D51" s="2" t="s">
        <v>203</v>
      </c>
    </row>
    <row r="52" spans="1:11" x14ac:dyDescent="0.3">
      <c r="A52" s="21" t="s">
        <v>199</v>
      </c>
      <c r="B52" s="71">
        <v>32</v>
      </c>
      <c r="C52" s="2" t="s">
        <v>145</v>
      </c>
      <c r="D52" s="2"/>
    </row>
    <row r="53" spans="1:11" x14ac:dyDescent="0.3">
      <c r="A53" s="21" t="s">
        <v>200</v>
      </c>
      <c r="B53" s="71">
        <v>84</v>
      </c>
      <c r="C53" s="2" t="s">
        <v>145</v>
      </c>
      <c r="D53" s="2"/>
    </row>
    <row r="54" spans="1:11" x14ac:dyDescent="0.3">
      <c r="A54" s="21" t="s">
        <v>201</v>
      </c>
      <c r="B54" s="71">
        <v>0</v>
      </c>
      <c r="C54" s="2" t="s">
        <v>145</v>
      </c>
      <c r="D54" s="2" t="s">
        <v>202</v>
      </c>
    </row>
    <row r="55" spans="1:11" x14ac:dyDescent="0.3">
      <c r="A55" s="21" t="s">
        <v>204</v>
      </c>
      <c r="B55" s="71">
        <v>1</v>
      </c>
      <c r="C55" s="2" t="s">
        <v>140</v>
      </c>
      <c r="D55" s="2" t="s">
        <v>205</v>
      </c>
    </row>
    <row r="56" spans="1:11" x14ac:dyDescent="0.3">
      <c r="A56" s="21" t="s">
        <v>206</v>
      </c>
      <c r="B56" s="71">
        <v>24</v>
      </c>
      <c r="C56" s="2" t="s">
        <v>145</v>
      </c>
      <c r="D56" s="2"/>
    </row>
    <row r="57" spans="1:11" x14ac:dyDescent="0.3">
      <c r="A57" s="21" t="s">
        <v>207</v>
      </c>
      <c r="B57" s="71">
        <v>24</v>
      </c>
      <c r="C57" s="2" t="s">
        <v>145</v>
      </c>
      <c r="D57" s="2"/>
    </row>
    <row r="58" spans="1:11" x14ac:dyDescent="0.3">
      <c r="A58" s="21" t="s">
        <v>208</v>
      </c>
      <c r="B58" s="71">
        <v>60</v>
      </c>
      <c r="C58" s="2" t="s">
        <v>145</v>
      </c>
      <c r="D58" s="2" t="s">
        <v>202</v>
      </c>
    </row>
    <row r="60" spans="1:11" x14ac:dyDescent="0.3">
      <c r="A60" s="4" t="s">
        <v>209</v>
      </c>
      <c r="B60" s="5"/>
      <c r="C60" s="5"/>
      <c r="D60" s="5"/>
      <c r="E60" s="5"/>
      <c r="F60" s="5"/>
      <c r="G60" s="5"/>
      <c r="H60" s="5"/>
      <c r="I60" s="5"/>
      <c r="J60" s="5"/>
      <c r="K60" s="5"/>
    </row>
    <row r="61" spans="1:11" x14ac:dyDescent="0.3">
      <c r="A61" s="21" t="s">
        <v>210</v>
      </c>
      <c r="B61" s="71">
        <v>35</v>
      </c>
      <c r="C61" s="2" t="s">
        <v>211</v>
      </c>
      <c r="D61" s="2" t="s">
        <v>212</v>
      </c>
    </row>
    <row r="62" spans="1:11" x14ac:dyDescent="0.3">
      <c r="A62" s="21" t="s">
        <v>213</v>
      </c>
      <c r="B62" s="71">
        <v>30</v>
      </c>
      <c r="C62" s="2" t="s">
        <v>211</v>
      </c>
      <c r="D62" s="2" t="s">
        <v>214</v>
      </c>
    </row>
    <row r="63" spans="1:11" x14ac:dyDescent="0.3">
      <c r="A63" s="21" t="s">
        <v>215</v>
      </c>
      <c r="B63" s="74">
        <v>600</v>
      </c>
      <c r="C63" s="2" t="s">
        <v>216</v>
      </c>
      <c r="D63" s="2" t="s">
        <v>217</v>
      </c>
    </row>
    <row r="64" spans="1:11" x14ac:dyDescent="0.3">
      <c r="A64" s="21" t="s">
        <v>218</v>
      </c>
      <c r="B64" s="75">
        <v>200</v>
      </c>
      <c r="C64" s="2" t="s">
        <v>219</v>
      </c>
      <c r="D64" s="2" t="s">
        <v>220</v>
      </c>
    </row>
    <row r="65" spans="1:11" x14ac:dyDescent="0.3">
      <c r="A65" s="21" t="s">
        <v>221</v>
      </c>
      <c r="B65" s="75">
        <v>20</v>
      </c>
      <c r="C65" s="2" t="s">
        <v>219</v>
      </c>
      <c r="D65" s="2" t="s">
        <v>222</v>
      </c>
    </row>
    <row r="66" spans="1:11" x14ac:dyDescent="0.3">
      <c r="A66" s="21" t="s">
        <v>223</v>
      </c>
      <c r="B66" s="7">
        <v>94</v>
      </c>
      <c r="C66" s="2" t="s">
        <v>224</v>
      </c>
      <c r="D66" s="2" t="s">
        <v>225</v>
      </c>
    </row>
    <row r="67" spans="1:11" x14ac:dyDescent="0.3">
      <c r="A67" s="21" t="s">
        <v>226</v>
      </c>
      <c r="B67" s="8">
        <v>0.1</v>
      </c>
      <c r="C67" s="2" t="s">
        <v>227</v>
      </c>
      <c r="D67" s="2" t="s">
        <v>228</v>
      </c>
    </row>
    <row r="68" spans="1:11" x14ac:dyDescent="0.3">
      <c r="A68" s="21" t="s">
        <v>229</v>
      </c>
      <c r="B68" s="8">
        <v>0.1</v>
      </c>
      <c r="C68" s="2" t="s">
        <v>227</v>
      </c>
      <c r="D68" s="2" t="s">
        <v>230</v>
      </c>
    </row>
    <row r="69" spans="1:11" x14ac:dyDescent="0.3">
      <c r="A69" s="21" t="s">
        <v>231</v>
      </c>
      <c r="B69" s="7">
        <v>540</v>
      </c>
      <c r="C69" s="2" t="s">
        <v>232</v>
      </c>
      <c r="D69" s="2" t="s">
        <v>233</v>
      </c>
    </row>
    <row r="70" spans="1:11" x14ac:dyDescent="0.3">
      <c r="A70" s="21" t="s">
        <v>234</v>
      </c>
      <c r="B70" s="8">
        <v>0.1</v>
      </c>
      <c r="C70" s="2" t="s">
        <v>227</v>
      </c>
      <c r="D70" s="2" t="s">
        <v>235</v>
      </c>
    </row>
    <row r="71" spans="1:11" x14ac:dyDescent="0.3">
      <c r="A71" s="21" t="s">
        <v>236</v>
      </c>
      <c r="B71" s="76">
        <f>Summary!$B$9</f>
        <v>0.1</v>
      </c>
      <c r="C71" s="2" t="s">
        <v>227</v>
      </c>
      <c r="D71" s="2" t="s">
        <v>237</v>
      </c>
    </row>
    <row r="73" spans="1:11" x14ac:dyDescent="0.3">
      <c r="A73" s="4" t="s">
        <v>238</v>
      </c>
      <c r="B73" s="5"/>
      <c r="C73" s="5"/>
      <c r="D73" s="5"/>
      <c r="E73" s="5"/>
      <c r="F73" s="5"/>
      <c r="G73" s="5"/>
      <c r="H73" s="5"/>
      <c r="I73" s="5"/>
      <c r="J73" s="5"/>
      <c r="K73" s="5"/>
    </row>
    <row r="74" spans="1:11" x14ac:dyDescent="0.3">
      <c r="A74" s="21" t="s">
        <v>239</v>
      </c>
      <c r="B74" s="75">
        <v>35</v>
      </c>
      <c r="C74" s="2" t="s">
        <v>240</v>
      </c>
      <c r="D74" s="2" t="s">
        <v>241</v>
      </c>
    </row>
    <row r="75" spans="1:11" x14ac:dyDescent="0.3">
      <c r="A75" s="21" t="s">
        <v>242</v>
      </c>
      <c r="B75" s="7">
        <v>16</v>
      </c>
      <c r="C75" s="2" t="s">
        <v>243</v>
      </c>
      <c r="D75" s="2" t="s">
        <v>244</v>
      </c>
    </row>
    <row r="76" spans="1:11" x14ac:dyDescent="0.3">
      <c r="A76" s="21" t="s">
        <v>245</v>
      </c>
      <c r="B76" s="77">
        <v>0.1</v>
      </c>
      <c r="C76" s="2" t="s">
        <v>246</v>
      </c>
      <c r="D76" s="2" t="s">
        <v>247</v>
      </c>
    </row>
    <row r="77" spans="1:11" x14ac:dyDescent="0.3">
      <c r="A77" s="21" t="s">
        <v>248</v>
      </c>
      <c r="B77" s="77">
        <v>0.03</v>
      </c>
      <c r="C77" s="2" t="s">
        <v>249</v>
      </c>
      <c r="D77" s="2" t="s">
        <v>250</v>
      </c>
    </row>
    <row r="78" spans="1:11" x14ac:dyDescent="0.3">
      <c r="A78" s="21" t="s">
        <v>251</v>
      </c>
      <c r="B78" s="78">
        <v>1.5</v>
      </c>
      <c r="C78" s="2" t="s">
        <v>252</v>
      </c>
      <c r="D78" s="2" t="s">
        <v>253</v>
      </c>
    </row>
    <row r="79" spans="1:11" x14ac:dyDescent="0.3">
      <c r="A79" s="21" t="s">
        <v>254</v>
      </c>
      <c r="B79" s="77">
        <v>1.5</v>
      </c>
      <c r="C79" s="2" t="s">
        <v>255</v>
      </c>
      <c r="D79" s="2" t="s">
        <v>256</v>
      </c>
    </row>
    <row r="80" spans="1:11" x14ac:dyDescent="0.3">
      <c r="A80" s="21" t="s">
        <v>257</v>
      </c>
      <c r="B80" s="77">
        <v>0.75</v>
      </c>
      <c r="C80" s="2" t="s">
        <v>255</v>
      </c>
      <c r="D80" s="2"/>
    </row>
    <row r="81" spans="1:11" x14ac:dyDescent="0.3">
      <c r="A81" s="21" t="s">
        <v>258</v>
      </c>
      <c r="B81" s="77">
        <v>1</v>
      </c>
      <c r="C81" s="2" t="s">
        <v>255</v>
      </c>
      <c r="D81" s="2" t="s">
        <v>259</v>
      </c>
    </row>
    <row r="82" spans="1:11" x14ac:dyDescent="0.3">
      <c r="A82" s="21" t="s">
        <v>260</v>
      </c>
      <c r="B82" s="77">
        <v>1</v>
      </c>
      <c r="C82" s="2" t="s">
        <v>255</v>
      </c>
      <c r="D82" s="2"/>
    </row>
    <row r="83" spans="1:11" x14ac:dyDescent="0.3">
      <c r="A83" s="21" t="s">
        <v>261</v>
      </c>
      <c r="B83" s="78">
        <v>2</v>
      </c>
      <c r="C83" s="2" t="s">
        <v>252</v>
      </c>
      <c r="D83" s="2" t="s">
        <v>262</v>
      </c>
    </row>
    <row r="85" spans="1:11" x14ac:dyDescent="0.3">
      <c r="A85" s="4" t="s">
        <v>263</v>
      </c>
      <c r="B85" s="5"/>
      <c r="C85" s="5"/>
      <c r="D85" s="5"/>
      <c r="E85" s="5"/>
      <c r="F85" s="5"/>
      <c r="G85" s="5"/>
      <c r="H85" s="5"/>
      <c r="I85" s="5"/>
      <c r="J85" s="5"/>
      <c r="K85" s="5"/>
    </row>
    <row r="86" spans="1:11" x14ac:dyDescent="0.3">
      <c r="A86" s="21" t="s">
        <v>264</v>
      </c>
      <c r="B86" s="79">
        <f>2*($B$16+$B$17)</f>
        <v>14</v>
      </c>
      <c r="C86" s="2" t="s">
        <v>140</v>
      </c>
      <c r="D86" s="2" t="s">
        <v>265</v>
      </c>
    </row>
    <row r="87" spans="1:11" x14ac:dyDescent="0.3">
      <c r="A87" s="21" t="s">
        <v>266</v>
      </c>
      <c r="B87" s="79">
        <f>IF($B$21&gt;0,1,0)</f>
        <v>1</v>
      </c>
      <c r="C87" s="2"/>
      <c r="D87" s="2"/>
    </row>
    <row r="88" spans="1:11" x14ac:dyDescent="0.3">
      <c r="A88" s="21" t="s">
        <v>267</v>
      </c>
      <c r="B88" s="79">
        <f>IF($B$22&gt;0,1,0)</f>
        <v>1</v>
      </c>
      <c r="C88" s="2"/>
      <c r="D88" s="2"/>
    </row>
    <row r="89" spans="1:11" x14ac:dyDescent="0.3">
      <c r="A89" s="21" t="s">
        <v>268</v>
      </c>
      <c r="B89" s="79">
        <f>$B$87</f>
        <v>1</v>
      </c>
      <c r="C89" s="2" t="s">
        <v>140</v>
      </c>
      <c r="D89" s="2"/>
    </row>
    <row r="90" spans="1:11" x14ac:dyDescent="0.3">
      <c r="A90" s="21" t="s">
        <v>269</v>
      </c>
      <c r="B90" s="79">
        <f>$B$87</f>
        <v>1</v>
      </c>
      <c r="C90" s="2" t="s">
        <v>140</v>
      </c>
      <c r="D90" s="2"/>
    </row>
    <row r="91" spans="1:11" x14ac:dyDescent="0.3">
      <c r="A91" s="21" t="s">
        <v>270</v>
      </c>
      <c r="B91" s="79">
        <f>2*$B$88</f>
        <v>2</v>
      </c>
      <c r="C91" s="2" t="s">
        <v>140</v>
      </c>
      <c r="D91" s="2"/>
    </row>
    <row r="92" spans="1:11" x14ac:dyDescent="0.3">
      <c r="A92" s="21" t="s">
        <v>271</v>
      </c>
      <c r="B92" s="79">
        <f>$B$16</f>
        <v>4</v>
      </c>
      <c r="C92" s="2" t="s">
        <v>140</v>
      </c>
      <c r="D92" s="2"/>
    </row>
    <row r="93" spans="1:11" x14ac:dyDescent="0.3">
      <c r="A93" s="21" t="s">
        <v>272</v>
      </c>
      <c r="B93" s="79">
        <f>$B$16+2*$B$17</f>
        <v>10</v>
      </c>
      <c r="C93" s="2" t="s">
        <v>140</v>
      </c>
      <c r="D93" s="2"/>
    </row>
    <row r="94" spans="1:11" x14ac:dyDescent="0.3">
      <c r="A94" s="21" t="s">
        <v>273</v>
      </c>
      <c r="B94" s="79">
        <f>$B$47</f>
        <v>1</v>
      </c>
      <c r="C94" s="2" t="s">
        <v>140</v>
      </c>
      <c r="D94" s="2"/>
    </row>
    <row r="95" spans="1:11" x14ac:dyDescent="0.3">
      <c r="A95" s="21" t="s">
        <v>274</v>
      </c>
      <c r="B95" s="79">
        <f>$B$51+$B$55</f>
        <v>2</v>
      </c>
      <c r="C95" s="2" t="s">
        <v>140</v>
      </c>
      <c r="D95" s="2"/>
    </row>
    <row r="96" spans="1:11" x14ac:dyDescent="0.3">
      <c r="A96" s="21" t="s">
        <v>275</v>
      </c>
      <c r="B96" s="79">
        <f>$B$92-$B$89-$B$94</f>
        <v>2</v>
      </c>
      <c r="C96" s="2" t="s">
        <v>140</v>
      </c>
      <c r="D96" s="2" t="s">
        <v>276</v>
      </c>
    </row>
    <row r="97" spans="1:4" x14ac:dyDescent="0.3">
      <c r="A97" s="21" t="s">
        <v>277</v>
      </c>
      <c r="B97" s="79">
        <f>$B$93-$B$90-$B$91-$B$95</f>
        <v>5</v>
      </c>
      <c r="C97" s="2" t="s">
        <v>140</v>
      </c>
      <c r="D97" s="2"/>
    </row>
    <row r="98" spans="1:4" x14ac:dyDescent="0.3">
      <c r="A98" s="21" t="s">
        <v>278</v>
      </c>
      <c r="B98" s="79">
        <f>$B$96+$B$97</f>
        <v>7</v>
      </c>
      <c r="C98" s="2" t="s">
        <v>140</v>
      </c>
      <c r="D98" s="2"/>
    </row>
    <row r="99" spans="1:4" x14ac:dyDescent="0.3">
      <c r="A99" s="21" t="s">
        <v>279</v>
      </c>
      <c r="B99" s="80">
        <f>MAX($B$19,$B$20)</f>
        <v>96</v>
      </c>
      <c r="C99" s="2" t="s">
        <v>145</v>
      </c>
      <c r="D99" s="2" t="s">
        <v>280</v>
      </c>
    </row>
    <row r="100" spans="1:4" x14ac:dyDescent="0.3">
      <c r="A100" s="21" t="s">
        <v>281</v>
      </c>
      <c r="B100" s="80">
        <f>$B$23+$B$24+$B$25+$B$26</f>
        <v>11.5</v>
      </c>
      <c r="C100" s="2" t="s">
        <v>145</v>
      </c>
      <c r="D100" s="2" t="s">
        <v>282</v>
      </c>
    </row>
    <row r="101" spans="1:4" x14ac:dyDescent="0.3">
      <c r="A101" s="21" t="s">
        <v>283</v>
      </c>
      <c r="B101" s="80">
        <f>$B$100-$B$26-$B$27</f>
        <v>4.5</v>
      </c>
      <c r="C101" s="2" t="s">
        <v>145</v>
      </c>
      <c r="D101" s="2" t="s">
        <v>284</v>
      </c>
    </row>
    <row r="102" spans="1:4" x14ac:dyDescent="0.3">
      <c r="A102" s="21" t="s">
        <v>285</v>
      </c>
      <c r="B102" s="80">
        <f>($B$16-$B$87)*$B$18+$B$21</f>
        <v>168</v>
      </c>
      <c r="C102" s="2" t="s">
        <v>145</v>
      </c>
      <c r="D102" s="2" t="s">
        <v>286</v>
      </c>
    </row>
    <row r="103" spans="1:4" x14ac:dyDescent="0.3">
      <c r="A103" s="21" t="s">
        <v>287</v>
      </c>
      <c r="B103" s="80">
        <f>($B$17-$B$88)*$B$18+$B$22</f>
        <v>121</v>
      </c>
      <c r="C103" s="2" t="s">
        <v>145</v>
      </c>
      <c r="D103" s="2" t="s">
        <v>288</v>
      </c>
    </row>
    <row r="104" spans="1:4" x14ac:dyDescent="0.3">
      <c r="A104" s="21" t="s">
        <v>289</v>
      </c>
      <c r="B104" s="80">
        <f>$B$102</f>
        <v>168</v>
      </c>
      <c r="C104" s="2" t="s">
        <v>145</v>
      </c>
      <c r="D104" s="2"/>
    </row>
    <row r="105" spans="1:4" x14ac:dyDescent="0.3">
      <c r="A105" s="21" t="s">
        <v>290</v>
      </c>
      <c r="B105" s="80">
        <f>$B$103+2*$B$100</f>
        <v>144</v>
      </c>
      <c r="C105" s="2" t="s">
        <v>145</v>
      </c>
      <c r="D105" s="2" t="s">
        <v>291</v>
      </c>
    </row>
    <row r="106" spans="1:4" x14ac:dyDescent="0.3">
      <c r="A106" s="21" t="s">
        <v>76</v>
      </c>
      <c r="B106" s="81">
        <f>($B$104-2*$B$100)*($B$105-2*$B$100)/144</f>
        <v>121.84027777777777</v>
      </c>
      <c r="C106" s="2" t="s">
        <v>292</v>
      </c>
      <c r="D106" s="2" t="s">
        <v>293</v>
      </c>
    </row>
    <row r="107" spans="1:4" x14ac:dyDescent="0.3">
      <c r="A107" s="21" t="s">
        <v>294</v>
      </c>
      <c r="B107" s="81">
        <f>2*($B$104+$B$105)/12</f>
        <v>52</v>
      </c>
      <c r="C107" s="2" t="s">
        <v>295</v>
      </c>
      <c r="D107" s="2" t="s">
        <v>296</v>
      </c>
    </row>
    <row r="108" spans="1:4" x14ac:dyDescent="0.3">
      <c r="A108" s="21" t="s">
        <v>297</v>
      </c>
      <c r="B108" s="81">
        <f>$B$18*$B$19/144</f>
        <v>32</v>
      </c>
      <c r="C108" s="2" t="s">
        <v>292</v>
      </c>
      <c r="D108" s="2"/>
    </row>
    <row r="109" spans="1:4" x14ac:dyDescent="0.3">
      <c r="A109" s="21" t="s">
        <v>298</v>
      </c>
      <c r="B109" s="81">
        <f>$B$18*$B$99/144</f>
        <v>32</v>
      </c>
      <c r="C109" s="2" t="s">
        <v>292</v>
      </c>
      <c r="D109" s="2"/>
    </row>
    <row r="110" spans="1:4" x14ac:dyDescent="0.3">
      <c r="A110" s="21" t="s">
        <v>299</v>
      </c>
      <c r="B110" s="81">
        <f>($B$102*$B$20+($B$102+2*$B$103)*$B$19)/144</f>
        <v>385.33333333333331</v>
      </c>
      <c r="C110" s="2" t="s">
        <v>292</v>
      </c>
      <c r="D110" s="2" t="s">
        <v>300</v>
      </c>
    </row>
    <row r="111" spans="1:4" x14ac:dyDescent="0.3">
      <c r="A111" s="21" t="s">
        <v>301</v>
      </c>
      <c r="B111" s="81">
        <f>$B$47*$B$48*$B$49/144+$B$51*$B$52*$B$53/144+$B$55*$B$56*$B$57/144</f>
        <v>43.666666666666671</v>
      </c>
      <c r="C111" s="2" t="s">
        <v>292</v>
      </c>
      <c r="D111" s="2"/>
    </row>
    <row r="112" spans="1:4" x14ac:dyDescent="0.3">
      <c r="A112" s="21" t="s">
        <v>302</v>
      </c>
      <c r="B112" s="81">
        <f>$B$110-$B$111</f>
        <v>341.66666666666663</v>
      </c>
      <c r="C112" s="2" t="s">
        <v>292</v>
      </c>
      <c r="D112" s="2"/>
    </row>
    <row r="113" spans="1:4" x14ac:dyDescent="0.3">
      <c r="A113" s="21" t="s">
        <v>303</v>
      </c>
      <c r="B113" s="79">
        <f>INT(($B$18-$B$29)/$B$28)+1</f>
        <v>3</v>
      </c>
      <c r="C113" s="2" t="s">
        <v>140</v>
      </c>
      <c r="D113" s="2" t="s">
        <v>304</v>
      </c>
    </row>
    <row r="114" spans="1:4" x14ac:dyDescent="0.3">
      <c r="A114" s="21" t="s">
        <v>305</v>
      </c>
      <c r="B114" s="79">
        <f>$B$113+1</f>
        <v>4</v>
      </c>
      <c r="C114" s="2" t="s">
        <v>140</v>
      </c>
      <c r="D114" s="2" t="s">
        <v>306</v>
      </c>
    </row>
    <row r="115" spans="1:4" x14ac:dyDescent="0.3">
      <c r="A115" s="21" t="s">
        <v>307</v>
      </c>
      <c r="B115" s="79">
        <f>IF($B$21&gt;0,INT(($B$21-$B$29)/$B$28)+2,0)</f>
        <v>3</v>
      </c>
      <c r="C115" s="2" t="s">
        <v>140</v>
      </c>
      <c r="D115" s="2" t="s">
        <v>308</v>
      </c>
    </row>
    <row r="116" spans="1:4" x14ac:dyDescent="0.3">
      <c r="A116" s="21" t="s">
        <v>309</v>
      </c>
      <c r="B116" s="79">
        <f>IF($B$22&gt;0,INT(($B$22-$B$29)/$B$28)+2,0)</f>
        <v>3</v>
      </c>
      <c r="C116" s="2" t="s">
        <v>140</v>
      </c>
      <c r="D116" s="2" t="s">
        <v>310</v>
      </c>
    </row>
    <row r="117" spans="1:4" x14ac:dyDescent="0.3">
      <c r="A117" s="21" t="s">
        <v>311</v>
      </c>
      <c r="B117" s="79">
        <f>INT(($B$20-2*$B$31)/$B$30)+1+IF(MOD($B$20-2*$B$31,$B$30)&gt;0,1,0)</f>
        <v>3</v>
      </c>
      <c r="C117" s="2" t="s">
        <v>140</v>
      </c>
      <c r="D117" s="2" t="s">
        <v>312</v>
      </c>
    </row>
    <row r="118" spans="1:4" x14ac:dyDescent="0.3">
      <c r="A118" s="21" t="s">
        <v>313</v>
      </c>
      <c r="B118" s="79">
        <f>INT(($B$19-2*$B$31)/$B$30)+1+IF(MOD($B$19-2*$B$31,$B$30)&gt;0,1,0)</f>
        <v>3</v>
      </c>
      <c r="C118" s="2" t="s">
        <v>140</v>
      </c>
      <c r="D118" s="2" t="s">
        <v>312</v>
      </c>
    </row>
    <row r="119" spans="1:4" x14ac:dyDescent="0.3">
      <c r="A119" s="6" t="s">
        <v>314</v>
      </c>
    </row>
    <row r="120" spans="1:4" x14ac:dyDescent="0.3">
      <c r="A120" s="21" t="s">
        <v>315</v>
      </c>
      <c r="B120" s="79">
        <f>MAX(0,MIN(ROUNDUP((($B$18+$B$48)/2)/$B$28,0)-1,$B$113-1)-MAX(INT(((($B$18-$B$48)/2)-$B$29)/$B$28)+1,0)+1)</f>
        <v>2</v>
      </c>
      <c r="C120" s="2" t="s">
        <v>316</v>
      </c>
      <c r="D120" s="2" t="s">
        <v>317</v>
      </c>
    </row>
    <row r="121" spans="1:4" x14ac:dyDescent="0.3">
      <c r="A121" s="21" t="s">
        <v>318</v>
      </c>
      <c r="B121" s="79">
        <f>IF($B$50+$B$49&lt;$B$20,1,0)</f>
        <v>1</v>
      </c>
      <c r="C121" s="2"/>
      <c r="D121" s="2"/>
    </row>
    <row r="122" spans="1:4" x14ac:dyDescent="0.3">
      <c r="A122" s="21" t="s">
        <v>319</v>
      </c>
      <c r="B122" s="79">
        <f>IF($B$50&gt;0,1,0)</f>
        <v>0</v>
      </c>
      <c r="C122" s="2"/>
      <c r="D122" s="2"/>
    </row>
    <row r="123" spans="1:4" x14ac:dyDescent="0.3">
      <c r="A123" s="21" t="s">
        <v>320</v>
      </c>
      <c r="B123" s="79">
        <f>MAX(0,MIN($B$117-2,INT(($B$50+$B$49-$B$31)/$B$30))-MAX(0,ROUNDUP(($B$50-$B$31)/$B$30,0))+1)+IF(AND($B$20-$B$31&gt;=$B$50,$B$20-$B$31&lt;=$B$50+$B$49),1,0)</f>
        <v>3</v>
      </c>
      <c r="C123" s="2" t="s">
        <v>316</v>
      </c>
      <c r="D123" s="2" t="s">
        <v>321</v>
      </c>
    </row>
    <row r="124" spans="1:4" x14ac:dyDescent="0.3">
      <c r="A124" s="21" t="s">
        <v>322</v>
      </c>
      <c r="B124" s="79">
        <f>$B$122*IF(OR(AND(($B$50)&gt;=$B$31,($B$50)&lt;=$B$20-$B$31,MOD(($B$50)-$B$31,$B$30)=0),($B$50)=$B$20-$B$31),1,0)+$B$121*IF(OR(AND(($B$50+$B$49)&gt;=$B$31,($B$50+$B$49)&lt;=$B$20-$B$31,MOD(($B$50+$B$49)-$B$31,$B$30)=0),($B$50+$B$49)=$B$20-$B$31),1,0)</f>
        <v>1</v>
      </c>
      <c r="C124" s="2" t="s">
        <v>316</v>
      </c>
      <c r="D124" s="2" t="s">
        <v>323</v>
      </c>
    </row>
    <row r="125" spans="1:4" x14ac:dyDescent="0.3">
      <c r="A125" s="21" t="s">
        <v>324</v>
      </c>
      <c r="B125" s="79">
        <f>$B$120*($B$121+$B$122)</f>
        <v>2</v>
      </c>
      <c r="C125" s="2" t="s">
        <v>316</v>
      </c>
      <c r="D125" s="2"/>
    </row>
    <row r="126" spans="1:4" x14ac:dyDescent="0.3">
      <c r="A126" s="21" t="s">
        <v>325</v>
      </c>
      <c r="B126" s="81">
        <f>$B$120*($B$122*$B$50+$B$121*($B$20-$B$50-$B$49))/12</f>
        <v>2</v>
      </c>
      <c r="C126" s="2" t="s">
        <v>326</v>
      </c>
      <c r="D126" s="2" t="s">
        <v>327</v>
      </c>
    </row>
    <row r="127" spans="1:4" x14ac:dyDescent="0.3">
      <c r="A127" s="21" t="s">
        <v>328</v>
      </c>
      <c r="B127" s="79">
        <f>2</f>
        <v>2</v>
      </c>
      <c r="C127" s="2" t="s">
        <v>316</v>
      </c>
      <c r="D127" s="2"/>
    </row>
    <row r="128" spans="1:4" x14ac:dyDescent="0.3">
      <c r="A128" s="21" t="s">
        <v>329</v>
      </c>
      <c r="B128" s="79">
        <f>$B$121+$B$122</f>
        <v>1</v>
      </c>
      <c r="C128" s="2" t="s">
        <v>316</v>
      </c>
      <c r="D128" s="2"/>
    </row>
    <row r="129" spans="1:4" x14ac:dyDescent="0.3">
      <c r="A129" s="21" t="s">
        <v>330</v>
      </c>
      <c r="B129" s="82">
        <f>($B$121+$B$122)*($B$48+2*$B$29)/12</f>
        <v>3.2708333333333335</v>
      </c>
      <c r="C129" s="2" t="s">
        <v>326</v>
      </c>
      <c r="D129" s="2" t="s">
        <v>331</v>
      </c>
    </row>
    <row r="130" spans="1:4" x14ac:dyDescent="0.3">
      <c r="A130" s="21" t="s">
        <v>332</v>
      </c>
      <c r="B130" s="79">
        <f>$B$117*($B$114-$B$120+2)+$B$120*($B$117-$B$123+$B$124)</f>
        <v>14</v>
      </c>
      <c r="C130" s="2" t="s">
        <v>316</v>
      </c>
      <c r="D130" s="2" t="s">
        <v>333</v>
      </c>
    </row>
    <row r="131" spans="1:4" x14ac:dyDescent="0.3">
      <c r="A131" s="21" t="s">
        <v>334</v>
      </c>
      <c r="B131" s="81">
        <f>($B$117*$B$18-$B$123*$B$48)/12</f>
        <v>3</v>
      </c>
      <c r="C131" s="2" t="s">
        <v>326</v>
      </c>
      <c r="D131" s="2"/>
    </row>
    <row r="132" spans="1:4" x14ac:dyDescent="0.3">
      <c r="A132" s="21" t="s">
        <v>335</v>
      </c>
      <c r="B132" s="79">
        <f>$B$114-$B$120+2+$B$125</f>
        <v>6</v>
      </c>
      <c r="C132" s="2" t="s">
        <v>316</v>
      </c>
      <c r="D132" s="2" t="s">
        <v>133</v>
      </c>
    </row>
    <row r="133" spans="1:4" x14ac:dyDescent="0.3">
      <c r="A133" s="21" t="s">
        <v>336</v>
      </c>
      <c r="B133" s="79">
        <f>$B$114-$B$120+2</f>
        <v>4</v>
      </c>
      <c r="C133" s="2" t="s">
        <v>316</v>
      </c>
      <c r="D133" s="2"/>
    </row>
    <row r="134" spans="1:4" x14ac:dyDescent="0.3">
      <c r="A134" s="21" t="s">
        <v>337</v>
      </c>
      <c r="B134" s="82">
        <f>($B$20-$B$40)/12</f>
        <v>4</v>
      </c>
      <c r="C134" s="2" t="s">
        <v>295</v>
      </c>
      <c r="D134" s="2" t="s">
        <v>338</v>
      </c>
    </row>
    <row r="135" spans="1:4" x14ac:dyDescent="0.3">
      <c r="A135" s="6" t="s">
        <v>339</v>
      </c>
    </row>
    <row r="136" spans="1:4" x14ac:dyDescent="0.3">
      <c r="A136" s="21" t="s">
        <v>315</v>
      </c>
      <c r="B136" s="79">
        <f>MAX(0,MIN(ROUNDUP((($B$18+$B$52)/2)/$B$28,0)-1,$B$113-1)-MAX(INT(((($B$18-$B$52)/2)-$B$29)/$B$28)+1,0)+1)</f>
        <v>2</v>
      </c>
      <c r="C136" s="2" t="s">
        <v>316</v>
      </c>
      <c r="D136" s="2" t="s">
        <v>317</v>
      </c>
    </row>
    <row r="137" spans="1:4" x14ac:dyDescent="0.3">
      <c r="A137" s="21" t="s">
        <v>318</v>
      </c>
      <c r="B137" s="79">
        <f>IF($B$54+$B$53&lt;$B$19,1,0)</f>
        <v>1</v>
      </c>
      <c r="C137" s="2"/>
      <c r="D137" s="2"/>
    </row>
    <row r="138" spans="1:4" x14ac:dyDescent="0.3">
      <c r="A138" s="21" t="s">
        <v>319</v>
      </c>
      <c r="B138" s="79">
        <f>IF($B$54&gt;0,1,0)</f>
        <v>0</v>
      </c>
      <c r="C138" s="2"/>
      <c r="D138" s="2"/>
    </row>
    <row r="139" spans="1:4" x14ac:dyDescent="0.3">
      <c r="A139" s="21" t="s">
        <v>320</v>
      </c>
      <c r="B139" s="79">
        <f>MAX(0,MIN($B$118-2,INT(($B$54+$B$53-$B$31)/$B$30))-MAX(0,ROUNDUP(($B$54-$B$31)/$B$30,0))+1)+IF(AND($B$19-$B$31&gt;=$B$54,$B$19-$B$31&lt;=$B$54+$B$53),1,0)</f>
        <v>3</v>
      </c>
      <c r="C139" s="2" t="s">
        <v>316</v>
      </c>
      <c r="D139" s="2" t="s">
        <v>321</v>
      </c>
    </row>
    <row r="140" spans="1:4" x14ac:dyDescent="0.3">
      <c r="A140" s="21" t="s">
        <v>322</v>
      </c>
      <c r="B140" s="79">
        <f>$B$138*IF(OR(AND(($B$54)&gt;=$B$31,($B$54)&lt;=$B$19-$B$31,MOD(($B$54)-$B$31,$B$30)=0),($B$54)=$B$19-$B$31),1,0)+$B$137*IF(OR(AND(($B$54+$B$53)&gt;=$B$31,($B$54+$B$53)&lt;=$B$19-$B$31,MOD(($B$54+$B$53)-$B$31,$B$30)=0),($B$54+$B$53)=$B$19-$B$31),1,0)</f>
        <v>1</v>
      </c>
      <c r="C140" s="2" t="s">
        <v>316</v>
      </c>
      <c r="D140" s="2" t="s">
        <v>323</v>
      </c>
    </row>
    <row r="141" spans="1:4" x14ac:dyDescent="0.3">
      <c r="A141" s="21" t="s">
        <v>324</v>
      </c>
      <c r="B141" s="79">
        <f>$B$136*($B$137+$B$138)</f>
        <v>2</v>
      </c>
      <c r="C141" s="2" t="s">
        <v>316</v>
      </c>
      <c r="D141" s="2"/>
    </row>
    <row r="142" spans="1:4" x14ac:dyDescent="0.3">
      <c r="A142" s="21" t="s">
        <v>325</v>
      </c>
      <c r="B142" s="81">
        <f>$B$136*($B$138*$B$54+$B$137*($B$19-$B$54-$B$53))/12</f>
        <v>2</v>
      </c>
      <c r="C142" s="2" t="s">
        <v>326</v>
      </c>
      <c r="D142" s="2" t="s">
        <v>327</v>
      </c>
    </row>
    <row r="143" spans="1:4" x14ac:dyDescent="0.3">
      <c r="A143" s="21" t="s">
        <v>328</v>
      </c>
      <c r="B143" s="79">
        <f>2</f>
        <v>2</v>
      </c>
      <c r="C143" s="2" t="s">
        <v>316</v>
      </c>
      <c r="D143" s="2"/>
    </row>
    <row r="144" spans="1:4" x14ac:dyDescent="0.3">
      <c r="A144" s="21" t="s">
        <v>329</v>
      </c>
      <c r="B144" s="79">
        <f>$B$137+$B$138</f>
        <v>1</v>
      </c>
      <c r="C144" s="2" t="s">
        <v>316</v>
      </c>
      <c r="D144" s="2"/>
    </row>
    <row r="145" spans="1:4" x14ac:dyDescent="0.3">
      <c r="A145" s="21" t="s">
        <v>330</v>
      </c>
      <c r="B145" s="82">
        <f>($B$137+$B$138)*($B$52+2*$B$29)/12</f>
        <v>2.9375</v>
      </c>
      <c r="C145" s="2" t="s">
        <v>326</v>
      </c>
      <c r="D145" s="2" t="s">
        <v>331</v>
      </c>
    </row>
    <row r="146" spans="1:4" x14ac:dyDescent="0.3">
      <c r="A146" s="21" t="s">
        <v>332</v>
      </c>
      <c r="B146" s="79">
        <f>$B$118*($B$114-$B$136+2)+$B$136*($B$118-$B$139+$B$140)</f>
        <v>14</v>
      </c>
      <c r="C146" s="2" t="s">
        <v>316</v>
      </c>
      <c r="D146" s="2" t="s">
        <v>333</v>
      </c>
    </row>
    <row r="147" spans="1:4" x14ac:dyDescent="0.3">
      <c r="A147" s="21" t="s">
        <v>334</v>
      </c>
      <c r="B147" s="81">
        <f>($B$118*$B$18-$B$139*$B$52)/12</f>
        <v>4</v>
      </c>
      <c r="C147" s="2" t="s">
        <v>326</v>
      </c>
      <c r="D147" s="2"/>
    </row>
    <row r="148" spans="1:4" x14ac:dyDescent="0.3">
      <c r="A148" s="21" t="s">
        <v>335</v>
      </c>
      <c r="B148" s="79">
        <f>$B$114-$B$136+2+$B$141</f>
        <v>6</v>
      </c>
      <c r="C148" s="2" t="s">
        <v>316</v>
      </c>
      <c r="D148" s="2" t="s">
        <v>133</v>
      </c>
    </row>
    <row r="149" spans="1:4" x14ac:dyDescent="0.3">
      <c r="A149" s="21" t="s">
        <v>336</v>
      </c>
      <c r="B149" s="79">
        <f>$B$114-$B$136+2</f>
        <v>4</v>
      </c>
      <c r="C149" s="2" t="s">
        <v>316</v>
      </c>
      <c r="D149" s="2"/>
    </row>
    <row r="150" spans="1:4" x14ac:dyDescent="0.3">
      <c r="A150" s="21" t="s">
        <v>337</v>
      </c>
      <c r="B150" s="82">
        <f>($B$19-$B$40)/12</f>
        <v>4</v>
      </c>
      <c r="C150" s="2" t="s">
        <v>295</v>
      </c>
      <c r="D150" s="2" t="s">
        <v>338</v>
      </c>
    </row>
    <row r="151" spans="1:4" x14ac:dyDescent="0.3">
      <c r="A151" s="6" t="s">
        <v>340</v>
      </c>
    </row>
    <row r="152" spans="1:4" x14ac:dyDescent="0.3">
      <c r="A152" s="21" t="s">
        <v>341</v>
      </c>
      <c r="B152" s="79">
        <f>MAX(0,MIN(ROUNDUP((($B$18+$B$56)/2)/$B$28,0)-1,$B$113-1)-MAX(INT(((($B$18-$B$56)/2)-$B$29)/$B$28)+1,0)+1)</f>
        <v>2</v>
      </c>
      <c r="C152" s="2" t="s">
        <v>316</v>
      </c>
      <c r="D152" s="2" t="s">
        <v>317</v>
      </c>
    </row>
    <row r="153" spans="1:4" x14ac:dyDescent="0.3">
      <c r="A153" s="21" t="s">
        <v>342</v>
      </c>
      <c r="B153" s="79">
        <f>IF($B$58+$B$57&lt;$B$19,1,0)</f>
        <v>1</v>
      </c>
      <c r="C153" s="2"/>
      <c r="D153" s="2"/>
    </row>
    <row r="154" spans="1:4" x14ac:dyDescent="0.3">
      <c r="A154" s="21" t="s">
        <v>343</v>
      </c>
      <c r="B154" s="79">
        <f>IF($B$58&gt;0,1,0)</f>
        <v>1</v>
      </c>
      <c r="C154" s="2"/>
      <c r="D154" s="2"/>
    </row>
    <row r="155" spans="1:4" x14ac:dyDescent="0.3">
      <c r="A155" s="21" t="s">
        <v>344</v>
      </c>
      <c r="B155" s="79">
        <f>MAX(0,MIN($B$118-2,INT(($B$58+$B$57-$B$31)/$B$30))-MAX(0,ROUNDUP(($B$58-$B$31)/$B$30,0))+1)+IF(AND($B$19-$B$31&gt;=$B$58,$B$19-$B$31&lt;=$B$58+$B$57),1,0)</f>
        <v>2</v>
      </c>
      <c r="C155" s="2" t="s">
        <v>316</v>
      </c>
      <c r="D155" s="2" t="s">
        <v>321</v>
      </c>
    </row>
    <row r="156" spans="1:4" x14ac:dyDescent="0.3">
      <c r="A156" s="21" t="s">
        <v>345</v>
      </c>
      <c r="B156" s="79">
        <f>$B$154*IF(OR(AND(($B$58)&gt;=$B$31,($B$58)&lt;=$B$19-$B$31,MOD(($B$58)-$B$31,$B$30)=0),($B$58)=$B$19-$B$31),1,0)+$B$153*IF(OR(AND(($B$58+$B$57)&gt;=$B$31,($B$58+$B$57)&lt;=$B$19-$B$31,MOD(($B$58+$B$57)-$B$31,$B$30)=0),($B$58+$B$57)=$B$19-$B$31),1,0)</f>
        <v>2</v>
      </c>
      <c r="C156" s="2" t="s">
        <v>316</v>
      </c>
      <c r="D156" s="2" t="s">
        <v>323</v>
      </c>
    </row>
    <row r="157" spans="1:4" x14ac:dyDescent="0.3">
      <c r="A157" s="21" t="s">
        <v>324</v>
      </c>
      <c r="B157" s="79">
        <f>$B$152*($B$153+$B$154)</f>
        <v>4</v>
      </c>
      <c r="C157" s="2" t="s">
        <v>316</v>
      </c>
      <c r="D157" s="2"/>
    </row>
    <row r="158" spans="1:4" x14ac:dyDescent="0.3">
      <c r="A158" s="21" t="s">
        <v>325</v>
      </c>
      <c r="B158" s="81">
        <f>$B$152*($B$154*$B$58+$B$153*($B$19-$B$58-$B$57))/12</f>
        <v>12</v>
      </c>
      <c r="C158" s="2" t="s">
        <v>326</v>
      </c>
      <c r="D158" s="2" t="s">
        <v>327</v>
      </c>
    </row>
    <row r="159" spans="1:4" x14ac:dyDescent="0.3">
      <c r="A159" s="21" t="s">
        <v>328</v>
      </c>
      <c r="B159" s="79">
        <f>2</f>
        <v>2</v>
      </c>
      <c r="C159" s="2" t="s">
        <v>316</v>
      </c>
      <c r="D159" s="2"/>
    </row>
    <row r="160" spans="1:4" x14ac:dyDescent="0.3">
      <c r="A160" s="21" t="s">
        <v>329</v>
      </c>
      <c r="B160" s="79">
        <f>$B$153+$B$154</f>
        <v>2</v>
      </c>
      <c r="C160" s="2" t="s">
        <v>316</v>
      </c>
      <c r="D160" s="2"/>
    </row>
    <row r="161" spans="1:4" x14ac:dyDescent="0.3">
      <c r="A161" s="21" t="s">
        <v>330</v>
      </c>
      <c r="B161" s="82">
        <f>($B$153+$B$154)*($B$56+2*$B$29)/12</f>
        <v>4.541666666666667</v>
      </c>
      <c r="C161" s="2" t="s">
        <v>326</v>
      </c>
      <c r="D161" s="2" t="s">
        <v>331</v>
      </c>
    </row>
    <row r="162" spans="1:4" x14ac:dyDescent="0.3">
      <c r="A162" s="21" t="s">
        <v>332</v>
      </c>
      <c r="B162" s="79">
        <f>$B$118*($B$114-$B$152+2)+$B$152*($B$118-$B$155+$B$156)</f>
        <v>18</v>
      </c>
      <c r="C162" s="2" t="s">
        <v>316</v>
      </c>
      <c r="D162" s="2" t="s">
        <v>333</v>
      </c>
    </row>
    <row r="163" spans="1:4" x14ac:dyDescent="0.3">
      <c r="A163" s="21" t="s">
        <v>334</v>
      </c>
      <c r="B163" s="81">
        <f>($B$118*$B$18-$B$155*$B$56)/12</f>
        <v>8</v>
      </c>
      <c r="C163" s="2" t="s">
        <v>326</v>
      </c>
      <c r="D163" s="2"/>
    </row>
    <row r="164" spans="1:4" x14ac:dyDescent="0.3">
      <c r="A164" s="21" t="s">
        <v>335</v>
      </c>
      <c r="B164" s="79">
        <f>$B$114-$B$152+2+$B$157</f>
        <v>8</v>
      </c>
      <c r="C164" s="2" t="s">
        <v>316</v>
      </c>
      <c r="D164" s="2" t="s">
        <v>133</v>
      </c>
    </row>
    <row r="165" spans="1:4" x14ac:dyDescent="0.3">
      <c r="A165" s="21" t="s">
        <v>336</v>
      </c>
      <c r="B165" s="79">
        <f>$B$114-$B$152+2</f>
        <v>4</v>
      </c>
      <c r="C165" s="2" t="s">
        <v>316</v>
      </c>
      <c r="D165" s="2"/>
    </row>
    <row r="166" spans="1:4" x14ac:dyDescent="0.3">
      <c r="A166" s="21" t="s">
        <v>337</v>
      </c>
      <c r="B166" s="82">
        <f>(IF($B$58&gt;$B$39,$B$58-$B$39,$B$19-$B$39))/12</f>
        <v>3.6666666666666665</v>
      </c>
      <c r="C166" s="2" t="s">
        <v>295</v>
      </c>
      <c r="D166" s="2" t="s">
        <v>338</v>
      </c>
    </row>
    <row r="167" spans="1:4" x14ac:dyDescent="0.3">
      <c r="A167" s="21" t="s">
        <v>346</v>
      </c>
      <c r="B167" s="79">
        <f>$B$98*$B$114+$B$89*$B$115+$B$90*$B$115+$B$91*$B$116+($B$47*($B$114-$B$120)+$B$51*($B$114-$B$136)+$B$55*($B$114-$B$152))</f>
        <v>46</v>
      </c>
      <c r="C167" s="2" t="s">
        <v>140</v>
      </c>
      <c r="D167" s="2" t="s">
        <v>347</v>
      </c>
    </row>
    <row r="168" spans="1:4" x14ac:dyDescent="0.3">
      <c r="A168" s="21" t="s">
        <v>348</v>
      </c>
      <c r="B168" s="79">
        <f>($B$47*$B$127+$B$51*$B$143+$B$55*$B$159)</f>
        <v>6</v>
      </c>
      <c r="C168" s="2" t="s">
        <v>140</v>
      </c>
      <c r="D168" s="2"/>
    </row>
    <row r="169" spans="1:4" x14ac:dyDescent="0.3">
      <c r="A169" s="21" t="s">
        <v>349</v>
      </c>
      <c r="B169" s="79">
        <f>($B$47*$B$125+$B$51*$B$141+$B$55*$B$157)</f>
        <v>8</v>
      </c>
      <c r="C169" s="2" t="s">
        <v>140</v>
      </c>
      <c r="D169" s="2"/>
    </row>
    <row r="170" spans="1:4" x14ac:dyDescent="0.3">
      <c r="A170" s="21" t="s">
        <v>350</v>
      </c>
      <c r="B170" s="81">
        <f>($B$47*$B$126+$B$51*$B$142+$B$55*$B$158)</f>
        <v>16</v>
      </c>
      <c r="C170" s="2" t="s">
        <v>295</v>
      </c>
      <c r="D170" s="2"/>
    </row>
    <row r="171" spans="1:4" x14ac:dyDescent="0.3">
      <c r="A171" s="21" t="s">
        <v>351</v>
      </c>
      <c r="B171" s="79">
        <f>$B$167+$B$168+$B$169</f>
        <v>60</v>
      </c>
      <c r="C171" s="2" t="s">
        <v>140</v>
      </c>
      <c r="D171" s="2"/>
    </row>
    <row r="172" spans="1:4" x14ac:dyDescent="0.3">
      <c r="A172" s="21" t="s">
        <v>352</v>
      </c>
      <c r="B172" s="79">
        <f>$B$96*$B$114+$B$89*$B$115+($B$47*$B$133)</f>
        <v>15</v>
      </c>
      <c r="C172" s="2" t="s">
        <v>140</v>
      </c>
      <c r="D172" s="2" t="s">
        <v>353</v>
      </c>
    </row>
    <row r="173" spans="1:4" x14ac:dyDescent="0.3">
      <c r="A173" s="21" t="s">
        <v>354</v>
      </c>
      <c r="B173" s="79">
        <f>$B$97*$B$114+$B$90*$B$115+$B$91*$B$116+($B$51*$B$149+$B$55*$B$165)</f>
        <v>37</v>
      </c>
      <c r="C173" s="2" t="s">
        <v>140</v>
      </c>
      <c r="D173" s="2" t="s">
        <v>355</v>
      </c>
    </row>
    <row r="174" spans="1:4" x14ac:dyDescent="0.3">
      <c r="A174" s="21" t="s">
        <v>356</v>
      </c>
      <c r="B174" s="81">
        <f>($B$172*$B$20+$B$173*$B$19)/12</f>
        <v>416</v>
      </c>
      <c r="C174" s="2" t="s">
        <v>295</v>
      </c>
      <c r="D174" s="2" t="s">
        <v>357</v>
      </c>
    </row>
    <row r="175" spans="1:4" x14ac:dyDescent="0.3">
      <c r="A175" s="21" t="s">
        <v>358</v>
      </c>
      <c r="B175" s="81">
        <f>$B$174+$B$170</f>
        <v>432</v>
      </c>
      <c r="C175" s="2" t="s">
        <v>295</v>
      </c>
      <c r="D175" s="2"/>
    </row>
    <row r="176" spans="1:4" x14ac:dyDescent="0.3">
      <c r="A176" s="21" t="s">
        <v>359</v>
      </c>
      <c r="B176" s="79">
        <f>($B$47*$B$128+$B$51*$B$144+$B$55*$B$160)</f>
        <v>4</v>
      </c>
      <c r="C176" s="2" t="s">
        <v>140</v>
      </c>
      <c r="D176" s="2"/>
    </row>
    <row r="177" spans="1:4" x14ac:dyDescent="0.3">
      <c r="A177" s="21" t="s">
        <v>360</v>
      </c>
      <c r="B177" s="81">
        <f>($B$47*$B$129+$B$51*$B$145+$B$55*$B$161)</f>
        <v>10.75</v>
      </c>
      <c r="C177" s="2" t="s">
        <v>295</v>
      </c>
      <c r="D177" s="2"/>
    </row>
    <row r="178" spans="1:4" x14ac:dyDescent="0.3">
      <c r="A178" s="21" t="s">
        <v>361</v>
      </c>
      <c r="B178" s="81">
        <f>2*2*($B$102+$B$103)/12</f>
        <v>96.333333333333329</v>
      </c>
      <c r="C178" s="2" t="s">
        <v>295</v>
      </c>
      <c r="D178" s="2" t="s">
        <v>362</v>
      </c>
    </row>
    <row r="179" spans="1:4" x14ac:dyDescent="0.3">
      <c r="A179" s="21" t="s">
        <v>363</v>
      </c>
      <c r="B179" s="81">
        <f>$B$178+$B$177+$B$107</f>
        <v>159.08333333333331</v>
      </c>
      <c r="C179" s="2" t="s">
        <v>295</v>
      </c>
      <c r="D179" s="2"/>
    </row>
    <row r="180" spans="1:4" x14ac:dyDescent="0.3">
      <c r="A180" s="21" t="s">
        <v>364</v>
      </c>
      <c r="B180" s="81">
        <f>($B$96*$B$117+$B$97*$B$118)*$B$18/12+($B$89*$B$117*$B$21+$B$90*$B$118*$B$21+$B$91*$B$118*$B$22)/12+($B$47*$B$131+$B$51*$B$147+$B$55*$B$163)</f>
        <v>123.5</v>
      </c>
      <c r="C180" s="2" t="s">
        <v>295</v>
      </c>
      <c r="D180" s="2" t="s">
        <v>365</v>
      </c>
    </row>
    <row r="181" spans="1:4" x14ac:dyDescent="0.3">
      <c r="A181" s="21" t="s">
        <v>366</v>
      </c>
      <c r="B181" s="79">
        <f>($B$96*$B$117+$B$97*$B$118)*$B$114+($B$89*$B$117*$B$115+$B$90*$B$118*$B$115+$B$91*$B$118*$B$116)+($B$47*$B$130+$B$51*$B$146+$B$55*$B$162)</f>
        <v>166</v>
      </c>
      <c r="C181" s="2" t="s">
        <v>140</v>
      </c>
      <c r="D181" s="2"/>
    </row>
    <row r="182" spans="1:4" x14ac:dyDescent="0.3">
      <c r="A182" s="21" t="s">
        <v>367</v>
      </c>
      <c r="B182" s="79">
        <f>$B$98*$B$114+$B$89*$B$115+$B$90*$B$115+$B$91*$B$116+($B$47*$B$132+$B$51*$B$148+$B$55*$B$164)</f>
        <v>60</v>
      </c>
      <c r="C182" s="2" t="s">
        <v>140</v>
      </c>
      <c r="D182" s="2"/>
    </row>
    <row r="183" spans="1:4" x14ac:dyDescent="0.3">
      <c r="A183" s="21" t="s">
        <v>368</v>
      </c>
      <c r="B183" s="79">
        <f>$B$47+$B$51</f>
        <v>2</v>
      </c>
      <c r="C183" s="2" t="s">
        <v>140</v>
      </c>
      <c r="D183" s="2"/>
    </row>
    <row r="184" spans="1:4" x14ac:dyDescent="0.3">
      <c r="A184" s="21" t="s">
        <v>369</v>
      </c>
      <c r="B184" s="79">
        <f>$B$55</f>
        <v>1</v>
      </c>
      <c r="C184" s="2" t="s">
        <v>140</v>
      </c>
      <c r="D184" s="2"/>
    </row>
    <row r="185" spans="1:4" x14ac:dyDescent="0.3">
      <c r="A185" s="21" t="s">
        <v>370</v>
      </c>
      <c r="B185" s="79">
        <f>$B$183+$B$184</f>
        <v>3</v>
      </c>
      <c r="C185" s="2" t="s">
        <v>140</v>
      </c>
      <c r="D185" s="2"/>
    </row>
    <row r="186" spans="1:4" x14ac:dyDescent="0.3">
      <c r="A186" s="21" t="s">
        <v>371</v>
      </c>
      <c r="B186" s="79">
        <f>($B$86-$B$183)*$B$38+$B$183</f>
        <v>14</v>
      </c>
      <c r="C186" s="2" t="s">
        <v>140</v>
      </c>
      <c r="D186" s="2"/>
    </row>
    <row r="187" spans="1:4" x14ac:dyDescent="0.3">
      <c r="A187" s="21" t="s">
        <v>372</v>
      </c>
      <c r="B187" s="81">
        <f>($B$96+$B$89)*$B$38*($B$20-$B$39)/12+($B$97+$B$90+$B$91)*$B$38*($B$19-$B$39)/12+($B$47*$B$134*1+$B$51*$B$150*1+$B$55*$B$166*$B$38)</f>
        <v>85.000000000000014</v>
      </c>
      <c r="C187" s="2" t="s">
        <v>295</v>
      </c>
      <c r="D187" s="2" t="s">
        <v>373</v>
      </c>
    </row>
    <row r="188" spans="1:4" x14ac:dyDescent="0.3">
      <c r="A188" s="21" t="s">
        <v>374</v>
      </c>
      <c r="B188" s="81">
        <f>($B$19)/12</f>
        <v>8</v>
      </c>
      <c r="C188" s="2" t="s">
        <v>295</v>
      </c>
      <c r="D188" s="2" t="s">
        <v>375</v>
      </c>
    </row>
    <row r="189" spans="1:4" x14ac:dyDescent="0.3">
      <c r="A189" s="21" t="s">
        <v>376</v>
      </c>
      <c r="B189" s="81">
        <f>$B$41*2*0.4*$B$19/12</f>
        <v>6.4000000000000012</v>
      </c>
      <c r="C189" s="2" t="s">
        <v>295</v>
      </c>
      <c r="D189" s="2" t="s">
        <v>377</v>
      </c>
    </row>
    <row r="190" spans="1:4" x14ac:dyDescent="0.3">
      <c r="A190" s="21" t="s">
        <v>378</v>
      </c>
      <c r="B190" s="80">
        <f>$B$112*$B$27/12/27</f>
        <v>5.2726337448559661</v>
      </c>
      <c r="C190" s="2" t="s">
        <v>379</v>
      </c>
      <c r="D190" s="2" t="s">
        <v>380</v>
      </c>
    </row>
    <row r="191" spans="1:4" x14ac:dyDescent="0.3">
      <c r="A191" s="21" t="s">
        <v>381</v>
      </c>
      <c r="B191" s="80">
        <f>$B$112*$B$26/12/27</f>
        <v>2.1090534979423867</v>
      </c>
      <c r="C191" s="2" t="s">
        <v>379</v>
      </c>
      <c r="D191" s="2" t="s">
        <v>382</v>
      </c>
    </row>
    <row r="192" spans="1:4" x14ac:dyDescent="0.3">
      <c r="A192" s="21" t="s">
        <v>383</v>
      </c>
      <c r="B192" s="80">
        <f>$B$112*$B$101/12/27</f>
        <v>4.7453703703703694</v>
      </c>
      <c r="C192" s="2" t="s">
        <v>379</v>
      </c>
      <c r="D192" s="2" t="s">
        <v>384</v>
      </c>
    </row>
    <row r="193" spans="1:11" x14ac:dyDescent="0.3">
      <c r="A193" s="21" t="s">
        <v>385</v>
      </c>
      <c r="B193" s="80">
        <f>$B$190+$B$191+$B$192</f>
        <v>12.127057613168724</v>
      </c>
      <c r="C193" s="2" t="s">
        <v>379</v>
      </c>
      <c r="D193" s="2"/>
    </row>
    <row r="194" spans="1:11" x14ac:dyDescent="0.3">
      <c r="A194" s="21" t="s">
        <v>386</v>
      </c>
      <c r="B194" s="80">
        <f>$B$193*(1+$B$67)</f>
        <v>13.339763374485598</v>
      </c>
      <c r="C194" s="2" t="s">
        <v>379</v>
      </c>
      <c r="D194" s="2" t="s">
        <v>387</v>
      </c>
    </row>
    <row r="195" spans="1:11" x14ac:dyDescent="0.3">
      <c r="A195" s="21" t="s">
        <v>388</v>
      </c>
      <c r="B195" s="80">
        <f>$B$63/$B$66</f>
        <v>6.3829787234042552</v>
      </c>
      <c r="C195" s="2" t="s">
        <v>389</v>
      </c>
      <c r="D195" s="2"/>
    </row>
    <row r="196" spans="1:11" x14ac:dyDescent="0.3">
      <c r="A196" s="21" t="s">
        <v>390</v>
      </c>
      <c r="B196" s="83">
        <f>($B$27/12*$B$61+3)*$B$108</f>
        <v>562.66666666666674</v>
      </c>
      <c r="C196" s="2" t="s">
        <v>224</v>
      </c>
      <c r="D196" s="2" t="s">
        <v>391</v>
      </c>
    </row>
    <row r="197" spans="1:11" x14ac:dyDescent="0.3">
      <c r="A197" s="21" t="s">
        <v>392</v>
      </c>
      <c r="B197" s="81">
        <f>$B$42*$B$109</f>
        <v>128</v>
      </c>
      <c r="C197" s="2" t="s">
        <v>292</v>
      </c>
      <c r="D197" s="2" t="s">
        <v>393</v>
      </c>
    </row>
    <row r="198" spans="1:11" x14ac:dyDescent="0.3">
      <c r="A198" s="21" t="s">
        <v>394</v>
      </c>
      <c r="B198" s="81">
        <f>$B$42*2*($B$18+$B$99)/12</f>
        <v>96</v>
      </c>
      <c r="C198" s="2" t="s">
        <v>295</v>
      </c>
      <c r="D198" s="2" t="s">
        <v>395</v>
      </c>
    </row>
    <row r="199" spans="1:11" x14ac:dyDescent="0.3">
      <c r="A199" s="21" t="s">
        <v>396</v>
      </c>
      <c r="B199" s="79">
        <f>ROUNDUP($B$86/$B$42,0)</f>
        <v>4</v>
      </c>
      <c r="C199" s="2" t="s">
        <v>397</v>
      </c>
      <c r="D199" s="2" t="s">
        <v>398</v>
      </c>
    </row>
    <row r="200" spans="1:11" x14ac:dyDescent="0.3">
      <c r="A200" s="21" t="s">
        <v>399</v>
      </c>
      <c r="B200" s="80">
        <f>$B$105-2*$B$100</f>
        <v>121</v>
      </c>
      <c r="C200" s="2" t="s">
        <v>145</v>
      </c>
      <c r="D200" s="2" t="s">
        <v>400</v>
      </c>
    </row>
    <row r="201" spans="1:11" x14ac:dyDescent="0.3">
      <c r="A201" s="21" t="s">
        <v>401</v>
      </c>
      <c r="B201" s="79">
        <f>ROUNDUP($B$200/$B$18,0)</f>
        <v>3</v>
      </c>
      <c r="C201" s="2" t="s">
        <v>140</v>
      </c>
      <c r="D201" s="2" t="s">
        <v>402</v>
      </c>
    </row>
    <row r="202" spans="1:11" x14ac:dyDescent="0.3">
      <c r="A202" s="21" t="s">
        <v>403</v>
      </c>
      <c r="B202" s="79">
        <f>ROUNDUP($B$44/$B$18,0)</f>
        <v>2</v>
      </c>
      <c r="C202" s="2" t="s">
        <v>140</v>
      </c>
      <c r="D202" s="2"/>
    </row>
    <row r="203" spans="1:11" x14ac:dyDescent="0.3">
      <c r="A203" s="21" t="s">
        <v>404</v>
      </c>
      <c r="B203" s="79">
        <f>($B$43-1)*$B$201+$B$202</f>
        <v>2</v>
      </c>
      <c r="C203" s="2" t="s">
        <v>140</v>
      </c>
      <c r="D203" s="2" t="s">
        <v>405</v>
      </c>
    </row>
    <row r="205" spans="1:11" x14ac:dyDescent="0.3">
      <c r="A205" s="4" t="s">
        <v>406</v>
      </c>
      <c r="B205" s="5"/>
      <c r="C205" s="5"/>
      <c r="D205" s="5"/>
      <c r="E205" s="5"/>
      <c r="F205" s="5"/>
      <c r="G205" s="5"/>
      <c r="H205" s="5"/>
      <c r="I205" s="5"/>
      <c r="J205" s="5"/>
      <c r="K205" s="5"/>
    </row>
    <row r="206" spans="1:11" x14ac:dyDescent="0.3">
      <c r="A206" s="11" t="s">
        <v>407</v>
      </c>
      <c r="B206" s="11" t="s">
        <v>408</v>
      </c>
      <c r="C206" s="11" t="s">
        <v>409</v>
      </c>
      <c r="D206" s="11" t="s">
        <v>410</v>
      </c>
      <c r="E206" s="11" t="s">
        <v>411</v>
      </c>
      <c r="F206" s="11" t="s">
        <v>412</v>
      </c>
      <c r="G206" s="11" t="s">
        <v>413</v>
      </c>
      <c r="H206" s="11" t="s">
        <v>414</v>
      </c>
      <c r="I206" s="11" t="s">
        <v>415</v>
      </c>
      <c r="J206" s="11" t="s">
        <v>416</v>
      </c>
      <c r="K206" s="11" t="s">
        <v>417</v>
      </c>
    </row>
    <row r="207" spans="1:11" x14ac:dyDescent="0.3">
      <c r="A207" s="6" t="s">
        <v>418</v>
      </c>
    </row>
    <row r="208" spans="1:11" x14ac:dyDescent="0.3">
      <c r="A208" s="84" t="s">
        <v>419</v>
      </c>
      <c r="B208" s="85">
        <f>$B$174</f>
        <v>416</v>
      </c>
      <c r="C208" s="86" t="s">
        <v>295</v>
      </c>
      <c r="D208" s="84" t="s">
        <v>420</v>
      </c>
      <c r="E208" s="71" t="s">
        <v>421</v>
      </c>
      <c r="F208" s="86" t="s">
        <v>422</v>
      </c>
      <c r="G208" s="75">
        <v>1.94</v>
      </c>
      <c r="H208" s="13">
        <f t="shared" ref="H208:H218" si="0">IF(D208="Material",B208*G208,0)</f>
        <v>807.04</v>
      </c>
      <c r="I208" s="13">
        <f t="shared" ref="I208:I218" si="1">IF(D208="Labor",B208*G208,0)</f>
        <v>0</v>
      </c>
      <c r="J208" s="13">
        <f t="shared" ref="J208:J218" si="2">H208+I208</f>
        <v>807.04</v>
      </c>
      <c r="K208" s="86" t="s">
        <v>423</v>
      </c>
    </row>
    <row r="209" spans="1:11" x14ac:dyDescent="0.3">
      <c r="A209" s="84" t="s">
        <v>424</v>
      </c>
      <c r="B209" s="85">
        <f>$B$170*(1+$B$70)</f>
        <v>17.600000000000001</v>
      </c>
      <c r="C209" s="86" t="s">
        <v>295</v>
      </c>
      <c r="D209" s="84" t="s">
        <v>420</v>
      </c>
      <c r="E209" s="71" t="s">
        <v>421</v>
      </c>
      <c r="F209" s="86" t="s">
        <v>425</v>
      </c>
      <c r="G209" s="75">
        <v>1.94</v>
      </c>
      <c r="H209" s="13">
        <f t="shared" si="0"/>
        <v>34.143999999999998</v>
      </c>
      <c r="I209" s="13">
        <f t="shared" si="1"/>
        <v>0</v>
      </c>
      <c r="J209" s="13">
        <f t="shared" si="2"/>
        <v>34.143999999999998</v>
      </c>
      <c r="K209" s="86" t="s">
        <v>426</v>
      </c>
    </row>
    <row r="210" spans="1:11" x14ac:dyDescent="0.3">
      <c r="A210" s="84" t="s">
        <v>427</v>
      </c>
      <c r="B210" s="85">
        <f>$B$178*(1+$B$70)</f>
        <v>105.96666666666667</v>
      </c>
      <c r="C210" s="86" t="s">
        <v>295</v>
      </c>
      <c r="D210" s="84" t="s">
        <v>420</v>
      </c>
      <c r="E210" s="71" t="s">
        <v>421</v>
      </c>
      <c r="F210" s="86" t="s">
        <v>428</v>
      </c>
      <c r="G210" s="75">
        <v>1.94</v>
      </c>
      <c r="H210" s="13">
        <f t="shared" si="0"/>
        <v>205.57533333333333</v>
      </c>
      <c r="I210" s="13">
        <f t="shared" si="1"/>
        <v>0</v>
      </c>
      <c r="J210" s="13">
        <f t="shared" si="2"/>
        <v>205.57533333333333</v>
      </c>
      <c r="K210" s="86" t="s">
        <v>429</v>
      </c>
    </row>
    <row r="211" spans="1:11" x14ac:dyDescent="0.3">
      <c r="A211" s="84" t="s">
        <v>430</v>
      </c>
      <c r="B211" s="85">
        <f>$B$177*(1+$B$70)</f>
        <v>11.825000000000001</v>
      </c>
      <c r="C211" s="86" t="s">
        <v>295</v>
      </c>
      <c r="D211" s="84" t="s">
        <v>420</v>
      </c>
      <c r="E211" s="71" t="s">
        <v>421</v>
      </c>
      <c r="F211" s="86" t="s">
        <v>431</v>
      </c>
      <c r="G211" s="75">
        <v>1.94</v>
      </c>
      <c r="H211" s="13">
        <f t="shared" si="0"/>
        <v>22.9405</v>
      </c>
      <c r="I211" s="13">
        <f t="shared" si="1"/>
        <v>0</v>
      </c>
      <c r="J211" s="13">
        <f t="shared" si="2"/>
        <v>22.9405</v>
      </c>
      <c r="K211" s="86" t="s">
        <v>432</v>
      </c>
    </row>
    <row r="212" spans="1:11" x14ac:dyDescent="0.3">
      <c r="A212" s="84" t="s">
        <v>433</v>
      </c>
      <c r="B212" s="85">
        <f>$B$107*(1+$B$70)</f>
        <v>57.2</v>
      </c>
      <c r="C212" s="86" t="s">
        <v>295</v>
      </c>
      <c r="D212" s="84" t="s">
        <v>420</v>
      </c>
      <c r="E212" s="71" t="s">
        <v>434</v>
      </c>
      <c r="F212" s="86" t="s">
        <v>435</v>
      </c>
      <c r="G212" s="75">
        <v>1.94</v>
      </c>
      <c r="H212" s="13">
        <f t="shared" si="0"/>
        <v>110.968</v>
      </c>
      <c r="I212" s="13">
        <f t="shared" si="1"/>
        <v>0</v>
      </c>
      <c r="J212" s="13">
        <f t="shared" si="2"/>
        <v>110.968</v>
      </c>
      <c r="K212" s="86" t="s">
        <v>436</v>
      </c>
    </row>
    <row r="213" spans="1:11" x14ac:dyDescent="0.3">
      <c r="A213" s="84" t="s">
        <v>437</v>
      </c>
      <c r="B213" s="85">
        <f>$B$180*(1+$B$70)</f>
        <v>135.85000000000002</v>
      </c>
      <c r="C213" s="86" t="s">
        <v>295</v>
      </c>
      <c r="D213" s="84" t="s">
        <v>420</v>
      </c>
      <c r="E213" s="71" t="s">
        <v>421</v>
      </c>
      <c r="F213" s="86" t="s">
        <v>438</v>
      </c>
      <c r="G213" s="75">
        <v>0.73</v>
      </c>
      <c r="H213" s="13">
        <f t="shared" si="0"/>
        <v>99.170500000000018</v>
      </c>
      <c r="I213" s="13">
        <f t="shared" si="1"/>
        <v>0</v>
      </c>
      <c r="J213" s="13">
        <f t="shared" si="2"/>
        <v>99.170500000000018</v>
      </c>
      <c r="K213" s="86" t="s">
        <v>439</v>
      </c>
    </row>
    <row r="214" spans="1:11" x14ac:dyDescent="0.3">
      <c r="A214" s="84" t="s">
        <v>440</v>
      </c>
      <c r="B214" s="87">
        <f>$B$181*$B$33</f>
        <v>332</v>
      </c>
      <c r="C214" s="86" t="s">
        <v>140</v>
      </c>
      <c r="D214" s="84" t="s">
        <v>420</v>
      </c>
      <c r="E214" s="71" t="s">
        <v>421</v>
      </c>
      <c r="F214" s="86" t="s">
        <v>441</v>
      </c>
      <c r="G214" s="75">
        <v>0.08</v>
      </c>
      <c r="H214" s="13">
        <f t="shared" si="0"/>
        <v>26.560000000000002</v>
      </c>
      <c r="I214" s="13">
        <f t="shared" si="1"/>
        <v>0</v>
      </c>
      <c r="J214" s="13">
        <f t="shared" si="2"/>
        <v>26.560000000000002</v>
      </c>
      <c r="K214" s="86" t="s">
        <v>442</v>
      </c>
    </row>
    <row r="215" spans="1:11" x14ac:dyDescent="0.3">
      <c r="A215" s="84" t="s">
        <v>443</v>
      </c>
      <c r="B215" s="87">
        <f>$B$182*2*$B$34</f>
        <v>480</v>
      </c>
      <c r="C215" s="86" t="s">
        <v>140</v>
      </c>
      <c r="D215" s="84" t="s">
        <v>420</v>
      </c>
      <c r="E215" s="71" t="s">
        <v>421</v>
      </c>
      <c r="F215" s="86" t="s">
        <v>444</v>
      </c>
      <c r="G215" s="75">
        <v>0.08</v>
      </c>
      <c r="H215" s="13">
        <f t="shared" si="0"/>
        <v>38.4</v>
      </c>
      <c r="I215" s="13">
        <f t="shared" si="1"/>
        <v>0</v>
      </c>
      <c r="J215" s="13">
        <f t="shared" si="2"/>
        <v>38.4</v>
      </c>
      <c r="K215" s="86" t="s">
        <v>445</v>
      </c>
    </row>
    <row r="216" spans="1:11" x14ac:dyDescent="0.3">
      <c r="A216" s="84" t="s">
        <v>446</v>
      </c>
      <c r="B216" s="87">
        <f>$B$86*$B$35</f>
        <v>112</v>
      </c>
      <c r="C216" s="86" t="s">
        <v>140</v>
      </c>
      <c r="D216" s="84" t="s">
        <v>420</v>
      </c>
      <c r="E216" s="71" t="s">
        <v>434</v>
      </c>
      <c r="F216" s="86" t="s">
        <v>447</v>
      </c>
      <c r="G216" s="75">
        <v>0.1</v>
      </c>
      <c r="H216" s="13">
        <f t="shared" si="0"/>
        <v>11.200000000000001</v>
      </c>
      <c r="I216" s="13">
        <f t="shared" si="1"/>
        <v>0</v>
      </c>
      <c r="J216" s="13">
        <f t="shared" si="2"/>
        <v>11.200000000000001</v>
      </c>
      <c r="K216" s="86" t="s">
        <v>448</v>
      </c>
    </row>
    <row r="217" spans="1:11" x14ac:dyDescent="0.3">
      <c r="A217" s="84" t="s">
        <v>449</v>
      </c>
      <c r="B217" s="87">
        <f>$B$86*$B$36</f>
        <v>168</v>
      </c>
      <c r="C217" s="86" t="s">
        <v>140</v>
      </c>
      <c r="D217" s="84" t="s">
        <v>420</v>
      </c>
      <c r="E217" s="71" t="s">
        <v>434</v>
      </c>
      <c r="F217" s="86" t="s">
        <v>450</v>
      </c>
      <c r="G217" s="75">
        <v>0.1</v>
      </c>
      <c r="H217" s="13">
        <f t="shared" si="0"/>
        <v>16.8</v>
      </c>
      <c r="I217" s="13">
        <f t="shared" si="1"/>
        <v>0</v>
      </c>
      <c r="J217" s="13">
        <f t="shared" si="2"/>
        <v>16.8</v>
      </c>
      <c r="K217" s="86" t="s">
        <v>451</v>
      </c>
    </row>
    <row r="218" spans="1:11" x14ac:dyDescent="0.3">
      <c r="A218" s="84" t="s">
        <v>452</v>
      </c>
      <c r="B218" s="87">
        <f>$B$86*$B$37</f>
        <v>28</v>
      </c>
      <c r="C218" s="86" t="s">
        <v>140</v>
      </c>
      <c r="D218" s="84" t="s">
        <v>420</v>
      </c>
      <c r="E218" s="71" t="s">
        <v>434</v>
      </c>
      <c r="F218" s="86" t="s">
        <v>453</v>
      </c>
      <c r="G218" s="75">
        <v>4.5</v>
      </c>
      <c r="H218" s="13">
        <f t="shared" si="0"/>
        <v>126</v>
      </c>
      <c r="I218" s="13">
        <f t="shared" si="1"/>
        <v>0</v>
      </c>
      <c r="J218" s="13">
        <f t="shared" si="2"/>
        <v>126</v>
      </c>
      <c r="K218" s="86" t="s">
        <v>454</v>
      </c>
    </row>
    <row r="219" spans="1:11" x14ac:dyDescent="0.3">
      <c r="A219" s="16" t="s">
        <v>455</v>
      </c>
      <c r="B219" s="20"/>
      <c r="C219" s="20"/>
      <c r="D219" s="20"/>
      <c r="E219" s="20"/>
      <c r="F219" s="20"/>
      <c r="G219" s="20"/>
      <c r="H219" s="88">
        <f>SUM(H208:H218)</f>
        <v>1498.7983333333334</v>
      </c>
      <c r="I219" s="88">
        <f>SUM(I208:I218)</f>
        <v>0</v>
      </c>
      <c r="J219" s="88">
        <f>SUM(J208:J218)</f>
        <v>1498.7983333333334</v>
      </c>
      <c r="K219" s="20"/>
    </row>
    <row r="221" spans="1:11" x14ac:dyDescent="0.3">
      <c r="A221" s="6" t="s">
        <v>456</v>
      </c>
    </row>
    <row r="222" spans="1:11" x14ac:dyDescent="0.3">
      <c r="A222" s="84" t="s">
        <v>457</v>
      </c>
      <c r="B222" s="85">
        <f>$B$112*$B$32*(1+$B$68)</f>
        <v>751.66666666666663</v>
      </c>
      <c r="C222" s="86" t="s">
        <v>292</v>
      </c>
      <c r="D222" s="84" t="s">
        <v>420</v>
      </c>
      <c r="E222" s="71" t="s">
        <v>421</v>
      </c>
      <c r="F222" s="86" t="s">
        <v>458</v>
      </c>
      <c r="G222" s="75">
        <v>0.95</v>
      </c>
      <c r="H222" s="13">
        <f>IF(D222="Material",B222*G222,0)</f>
        <v>714.08333333333326</v>
      </c>
      <c r="I222" s="13">
        <f>IF(D222="Labor",B222*G222,0)</f>
        <v>0</v>
      </c>
      <c r="J222" s="13">
        <f>H222+I222</f>
        <v>714.08333333333326</v>
      </c>
      <c r="K222" s="86" t="s">
        <v>459</v>
      </c>
    </row>
    <row r="223" spans="1:11" x14ac:dyDescent="0.3">
      <c r="A223" s="84" t="s">
        <v>460</v>
      </c>
      <c r="B223" s="87">
        <f>ROUNDUP(B222/$B$69,0)</f>
        <v>2</v>
      </c>
      <c r="C223" s="86" t="s">
        <v>461</v>
      </c>
      <c r="D223" s="84" t="s">
        <v>420</v>
      </c>
      <c r="E223" s="71" t="s">
        <v>421</v>
      </c>
      <c r="F223" s="86" t="s">
        <v>462</v>
      </c>
      <c r="G223" s="75">
        <v>0</v>
      </c>
      <c r="H223" s="13">
        <f>IF(D223="Material",B223*G223,0)</f>
        <v>0</v>
      </c>
      <c r="I223" s="13">
        <f>IF(D223="Labor",B223*G223,0)</f>
        <v>0</v>
      </c>
      <c r="J223" s="13">
        <f>H223+I223</f>
        <v>0</v>
      </c>
      <c r="K223" s="86" t="s">
        <v>463</v>
      </c>
    </row>
    <row r="224" spans="1:11" x14ac:dyDescent="0.3">
      <c r="A224" s="16" t="s">
        <v>464</v>
      </c>
      <c r="B224" s="20"/>
      <c r="C224" s="20"/>
      <c r="D224" s="20"/>
      <c r="E224" s="20"/>
      <c r="F224" s="20"/>
      <c r="G224" s="20"/>
      <c r="H224" s="88">
        <f>SUM(H222:H223)</f>
        <v>714.08333333333326</v>
      </c>
      <c r="I224" s="88">
        <f>SUM(I222:I223)</f>
        <v>0</v>
      </c>
      <c r="J224" s="88">
        <f>SUM(J222:J223)</f>
        <v>714.08333333333326</v>
      </c>
      <c r="K224" s="20"/>
    </row>
    <row r="226" spans="1:11" x14ac:dyDescent="0.3">
      <c r="A226" s="6" t="s">
        <v>465</v>
      </c>
    </row>
    <row r="227" spans="1:11" x14ac:dyDescent="0.3">
      <c r="A227" s="84" t="s">
        <v>466</v>
      </c>
      <c r="B227" s="85">
        <f>$B$190*(1+$B$67)</f>
        <v>5.7998971193415629</v>
      </c>
      <c r="C227" s="86" t="s">
        <v>379</v>
      </c>
      <c r="D227" s="84" t="s">
        <v>420</v>
      </c>
      <c r="E227" s="71" t="s">
        <v>421</v>
      </c>
      <c r="F227" s="86" t="s">
        <v>467</v>
      </c>
      <c r="G227" s="89">
        <f>$B$64+$B$65</f>
        <v>220</v>
      </c>
      <c r="H227" s="13">
        <f t="shared" ref="H227:H233" si="3">IF(D227="Material",B227*G227,0)</f>
        <v>1275.9773662551438</v>
      </c>
      <c r="I227" s="13">
        <f t="shared" ref="I227:I233" si="4">IF(D227="Labor",B227*G227,0)</f>
        <v>0</v>
      </c>
      <c r="J227" s="13">
        <f t="shared" ref="J227:J233" si="5">H227+I227</f>
        <v>1275.9773662551438</v>
      </c>
      <c r="K227" s="86" t="s">
        <v>468</v>
      </c>
    </row>
    <row r="228" spans="1:11" x14ac:dyDescent="0.3">
      <c r="A228" s="84" t="s">
        <v>469</v>
      </c>
      <c r="B228" s="85">
        <f>$B$191*(1+$B$67)</f>
        <v>2.3199588477366255</v>
      </c>
      <c r="C228" s="86" t="s">
        <v>379</v>
      </c>
      <c r="D228" s="84" t="s">
        <v>420</v>
      </c>
      <c r="E228" s="71" t="s">
        <v>421</v>
      </c>
      <c r="F228" s="86" t="s">
        <v>470</v>
      </c>
      <c r="G228" s="89">
        <f>$B$64+$B$65</f>
        <v>220</v>
      </c>
      <c r="H228" s="13">
        <f t="shared" si="3"/>
        <v>510.3909465020576</v>
      </c>
      <c r="I228" s="13">
        <f t="shared" si="4"/>
        <v>0</v>
      </c>
      <c r="J228" s="13">
        <f t="shared" si="5"/>
        <v>510.3909465020576</v>
      </c>
      <c r="K228" s="86" t="s">
        <v>471</v>
      </c>
    </row>
    <row r="229" spans="1:11" x14ac:dyDescent="0.3">
      <c r="A229" s="84" t="s">
        <v>472</v>
      </c>
      <c r="B229" s="85">
        <f>$B$192*(1+$B$67)</f>
        <v>5.2199074074074066</v>
      </c>
      <c r="C229" s="86" t="s">
        <v>379</v>
      </c>
      <c r="D229" s="84" t="s">
        <v>420</v>
      </c>
      <c r="E229" s="71" t="s">
        <v>434</v>
      </c>
      <c r="F229" s="86" t="s">
        <v>473</v>
      </c>
      <c r="G229" s="89">
        <f>$B$64+$B$65</f>
        <v>220</v>
      </c>
      <c r="H229" s="13">
        <f t="shared" si="3"/>
        <v>1148.3796296296293</v>
      </c>
      <c r="I229" s="13">
        <f t="shared" si="4"/>
        <v>0</v>
      </c>
      <c r="J229" s="13">
        <f t="shared" si="5"/>
        <v>1148.3796296296293</v>
      </c>
      <c r="K229" s="86" t="s">
        <v>474</v>
      </c>
    </row>
    <row r="230" spans="1:11" x14ac:dyDescent="0.3">
      <c r="A230" s="84" t="s">
        <v>475</v>
      </c>
      <c r="B230" s="85">
        <f>$B$194</f>
        <v>13.339763374485598</v>
      </c>
      <c r="C230" s="86" t="s">
        <v>379</v>
      </c>
      <c r="D230" s="84" t="s">
        <v>420</v>
      </c>
      <c r="E230" s="71" t="s">
        <v>421</v>
      </c>
      <c r="F230" s="86" t="s">
        <v>476</v>
      </c>
      <c r="G230" s="75">
        <v>0</v>
      </c>
      <c r="H230" s="13">
        <f t="shared" si="3"/>
        <v>0</v>
      </c>
      <c r="I230" s="13">
        <f t="shared" si="4"/>
        <v>0</v>
      </c>
      <c r="J230" s="13">
        <f t="shared" si="5"/>
        <v>0</v>
      </c>
      <c r="K230" s="86" t="s">
        <v>477</v>
      </c>
    </row>
    <row r="231" spans="1:11" x14ac:dyDescent="0.3">
      <c r="A231" s="84" t="s">
        <v>478</v>
      </c>
      <c r="B231" s="85">
        <f>$B$194</f>
        <v>13.339763374485598</v>
      </c>
      <c r="C231" s="86" t="s">
        <v>379</v>
      </c>
      <c r="D231" s="84" t="s">
        <v>420</v>
      </c>
      <c r="E231" s="71" t="s">
        <v>421</v>
      </c>
      <c r="F231" s="86" t="s">
        <v>479</v>
      </c>
      <c r="G231" s="75">
        <v>0</v>
      </c>
      <c r="H231" s="13">
        <f t="shared" si="3"/>
        <v>0</v>
      </c>
      <c r="I231" s="13">
        <f t="shared" si="4"/>
        <v>0</v>
      </c>
      <c r="J231" s="13">
        <f t="shared" si="5"/>
        <v>0</v>
      </c>
      <c r="K231" s="86" t="s">
        <v>480</v>
      </c>
    </row>
    <row r="232" spans="1:11" x14ac:dyDescent="0.3">
      <c r="A232" s="84" t="s">
        <v>481</v>
      </c>
      <c r="B232" s="87">
        <f>$B$194*$B$63</f>
        <v>8003.8580246913589</v>
      </c>
      <c r="C232" s="86" t="s">
        <v>224</v>
      </c>
      <c r="D232" s="84" t="s">
        <v>420</v>
      </c>
      <c r="E232" s="71" t="s">
        <v>421</v>
      </c>
      <c r="F232" s="86" t="s">
        <v>482</v>
      </c>
      <c r="G232" s="75">
        <v>0</v>
      </c>
      <c r="H232" s="13">
        <f t="shared" si="3"/>
        <v>0</v>
      </c>
      <c r="I232" s="13">
        <f t="shared" si="4"/>
        <v>0</v>
      </c>
      <c r="J232" s="13">
        <f t="shared" si="5"/>
        <v>0</v>
      </c>
      <c r="K232" s="86" t="s">
        <v>483</v>
      </c>
    </row>
    <row r="233" spans="1:11" x14ac:dyDescent="0.3">
      <c r="A233" s="84" t="s">
        <v>484</v>
      </c>
      <c r="B233" s="87">
        <f>ROUNDUP($B$194*$B$195,0)</f>
        <v>86</v>
      </c>
      <c r="C233" s="86" t="s">
        <v>485</v>
      </c>
      <c r="D233" s="84" t="s">
        <v>420</v>
      </c>
      <c r="E233" s="71" t="s">
        <v>421</v>
      </c>
      <c r="F233" s="86" t="s">
        <v>486</v>
      </c>
      <c r="G233" s="75">
        <v>0</v>
      </c>
      <c r="H233" s="13">
        <f t="shared" si="3"/>
        <v>0</v>
      </c>
      <c r="I233" s="13">
        <f t="shared" si="4"/>
        <v>0</v>
      </c>
      <c r="J233" s="13">
        <f t="shared" si="5"/>
        <v>0</v>
      </c>
      <c r="K233" s="86" t="s">
        <v>487</v>
      </c>
    </row>
    <row r="234" spans="1:11" x14ac:dyDescent="0.3">
      <c r="A234" s="16" t="s">
        <v>488</v>
      </c>
      <c r="B234" s="20"/>
      <c r="C234" s="20"/>
      <c r="D234" s="20"/>
      <c r="E234" s="20"/>
      <c r="F234" s="20"/>
      <c r="G234" s="20"/>
      <c r="H234" s="88">
        <f>SUM(H227:H233)</f>
        <v>2934.7479423868308</v>
      </c>
      <c r="I234" s="88">
        <f>SUM(I227:I233)</f>
        <v>0</v>
      </c>
      <c r="J234" s="88">
        <f>SUM(J227:J233)</f>
        <v>2934.7479423868308</v>
      </c>
      <c r="K234" s="20"/>
    </row>
    <row r="236" spans="1:11" x14ac:dyDescent="0.3">
      <c r="A236" s="6" t="s">
        <v>489</v>
      </c>
    </row>
    <row r="237" spans="1:11" x14ac:dyDescent="0.3">
      <c r="A237" s="84" t="s">
        <v>490</v>
      </c>
      <c r="B237" s="87">
        <f>$B$181</f>
        <v>166</v>
      </c>
      <c r="C237" s="86" t="s">
        <v>140</v>
      </c>
      <c r="D237" s="84" t="s">
        <v>420</v>
      </c>
      <c r="E237" s="71" t="s">
        <v>421</v>
      </c>
      <c r="F237" s="86" t="s">
        <v>491</v>
      </c>
      <c r="G237" s="75">
        <v>0.6</v>
      </c>
      <c r="H237" s="13">
        <f>IF(D237="Material",B237*G237,0)</f>
        <v>99.6</v>
      </c>
      <c r="I237" s="13">
        <f>IF(D237="Labor",B237*G237,0)</f>
        <v>0</v>
      </c>
      <c r="J237" s="13">
        <f>H237+I237</f>
        <v>99.6</v>
      </c>
      <c r="K237" s="86" t="s">
        <v>492</v>
      </c>
    </row>
    <row r="238" spans="1:11" x14ac:dyDescent="0.3">
      <c r="A238" s="16" t="s">
        <v>493</v>
      </c>
      <c r="B238" s="20"/>
      <c r="C238" s="20"/>
      <c r="D238" s="20"/>
      <c r="E238" s="20"/>
      <c r="F238" s="20"/>
      <c r="G238" s="20"/>
      <c r="H238" s="88">
        <f>SUM(H237:H237)</f>
        <v>99.6</v>
      </c>
      <c r="I238" s="88">
        <f>SUM(I237:I237)</f>
        <v>0</v>
      </c>
      <c r="J238" s="88">
        <f>SUM(J237:J237)</f>
        <v>99.6</v>
      </c>
      <c r="K238" s="20"/>
    </row>
    <row r="240" spans="1:11" x14ac:dyDescent="0.3">
      <c r="A240" s="6" t="s">
        <v>494</v>
      </c>
    </row>
    <row r="241" spans="1:11" x14ac:dyDescent="0.3">
      <c r="A241" s="84" t="s">
        <v>495</v>
      </c>
      <c r="B241" s="85">
        <f>$B$197*1.1</f>
        <v>140.80000000000001</v>
      </c>
      <c r="C241" s="86" t="s">
        <v>292</v>
      </c>
      <c r="D241" s="84" t="s">
        <v>420</v>
      </c>
      <c r="E241" s="71" t="s">
        <v>421</v>
      </c>
      <c r="F241" s="86" t="s">
        <v>496</v>
      </c>
      <c r="G241" s="75">
        <v>0.12</v>
      </c>
      <c r="H241" s="13">
        <f>IF(D241="Material",B241*G241,0)</f>
        <v>16.896000000000001</v>
      </c>
      <c r="I241" s="13">
        <f>IF(D241="Labor",B241*G241,0)</f>
        <v>0</v>
      </c>
      <c r="J241" s="13">
        <f>H241+I241</f>
        <v>16.896000000000001</v>
      </c>
      <c r="K241" s="86" t="s">
        <v>497</v>
      </c>
    </row>
    <row r="242" spans="1:11" x14ac:dyDescent="0.3">
      <c r="A242" s="84" t="s">
        <v>498</v>
      </c>
      <c r="B242" s="85">
        <f>$B$198</f>
        <v>96</v>
      </c>
      <c r="C242" s="86" t="s">
        <v>295</v>
      </c>
      <c r="D242" s="84" t="s">
        <v>420</v>
      </c>
      <c r="E242" s="71" t="s">
        <v>421</v>
      </c>
      <c r="F242" s="86" t="s">
        <v>499</v>
      </c>
      <c r="G242" s="75">
        <v>1.8</v>
      </c>
      <c r="H242" s="13">
        <f>IF(D242="Material",B242*G242,0)</f>
        <v>172.8</v>
      </c>
      <c r="I242" s="13">
        <f>IF(D242="Labor",B242*G242,0)</f>
        <v>0</v>
      </c>
      <c r="J242" s="13">
        <f>H242+I242</f>
        <v>172.8</v>
      </c>
      <c r="K242" s="86" t="s">
        <v>500</v>
      </c>
    </row>
    <row r="243" spans="1:11" x14ac:dyDescent="0.3">
      <c r="A243" s="16" t="s">
        <v>501</v>
      </c>
      <c r="B243" s="20"/>
      <c r="C243" s="20"/>
      <c r="D243" s="20"/>
      <c r="E243" s="20"/>
      <c r="F243" s="20"/>
      <c r="G243" s="20"/>
      <c r="H243" s="88">
        <f>SUM(H241:H242)</f>
        <v>189.69600000000003</v>
      </c>
      <c r="I243" s="88">
        <f>SUM(I241:I242)</f>
        <v>0</v>
      </c>
      <c r="J243" s="88">
        <f>SUM(J241:J242)</f>
        <v>189.69600000000003</v>
      </c>
      <c r="K243" s="20"/>
    </row>
    <row r="245" spans="1:11" x14ac:dyDescent="0.3">
      <c r="A245" s="6" t="s">
        <v>502</v>
      </c>
    </row>
    <row r="246" spans="1:11" x14ac:dyDescent="0.3">
      <c r="A246" s="84" t="s">
        <v>503</v>
      </c>
      <c r="B246" s="87">
        <f>$B$186</f>
        <v>14</v>
      </c>
      <c r="C246" s="86" t="s">
        <v>140</v>
      </c>
      <c r="D246" s="84" t="s">
        <v>420</v>
      </c>
      <c r="E246" s="71" t="s">
        <v>434</v>
      </c>
      <c r="F246" s="86" t="s">
        <v>504</v>
      </c>
      <c r="G246" s="75">
        <v>6</v>
      </c>
      <c r="H246" s="13">
        <f>IF(D246="Material",B246*G246,0)</f>
        <v>84</v>
      </c>
      <c r="I246" s="13">
        <f>IF(D246="Labor",B246*G246,0)</f>
        <v>0</v>
      </c>
      <c r="J246" s="13">
        <f>H246+I246</f>
        <v>84</v>
      </c>
      <c r="K246" s="86" t="s">
        <v>505</v>
      </c>
    </row>
    <row r="247" spans="1:11" x14ac:dyDescent="0.3">
      <c r="A247" s="84" t="s">
        <v>506</v>
      </c>
      <c r="B247" s="85">
        <f>$B$187</f>
        <v>85.000000000000014</v>
      </c>
      <c r="C247" s="86" t="s">
        <v>295</v>
      </c>
      <c r="D247" s="84" t="s">
        <v>420</v>
      </c>
      <c r="E247" s="71" t="s">
        <v>434</v>
      </c>
      <c r="F247" s="86" t="s">
        <v>507</v>
      </c>
      <c r="G247" s="75">
        <v>1.25</v>
      </c>
      <c r="H247" s="13">
        <f>IF(D247="Material",B247*G247,0)</f>
        <v>106.25000000000001</v>
      </c>
      <c r="I247" s="13">
        <f>IF(D247="Labor",B247*G247,0)</f>
        <v>0</v>
      </c>
      <c r="J247" s="13">
        <f>H247+I247</f>
        <v>106.25000000000001</v>
      </c>
      <c r="K247" s="86" t="s">
        <v>508</v>
      </c>
    </row>
    <row r="248" spans="1:11" x14ac:dyDescent="0.3">
      <c r="A248" s="84" t="s">
        <v>509</v>
      </c>
      <c r="B248" s="85">
        <f>$B$188</f>
        <v>8</v>
      </c>
      <c r="C248" s="86" t="s">
        <v>295</v>
      </c>
      <c r="D248" s="84" t="s">
        <v>420</v>
      </c>
      <c r="E248" s="71" t="s">
        <v>434</v>
      </c>
      <c r="F248" s="86" t="s">
        <v>510</v>
      </c>
      <c r="G248" s="75">
        <v>4</v>
      </c>
      <c r="H248" s="13">
        <f>IF(D248="Material",B248*G248,0)</f>
        <v>32</v>
      </c>
      <c r="I248" s="13">
        <f>IF(D248="Labor",B248*G248,0)</f>
        <v>0</v>
      </c>
      <c r="J248" s="13">
        <f>H248+I248</f>
        <v>32</v>
      </c>
      <c r="K248" s="86" t="s">
        <v>511</v>
      </c>
    </row>
    <row r="249" spans="1:11" x14ac:dyDescent="0.3">
      <c r="A249" s="84" t="s">
        <v>512</v>
      </c>
      <c r="B249" s="85">
        <f>$B$189</f>
        <v>6.4000000000000012</v>
      </c>
      <c r="C249" s="86" t="s">
        <v>295</v>
      </c>
      <c r="D249" s="84" t="s">
        <v>420</v>
      </c>
      <c r="E249" s="71" t="s">
        <v>434</v>
      </c>
      <c r="F249" s="86" t="s">
        <v>377</v>
      </c>
      <c r="G249" s="75">
        <v>2.5</v>
      </c>
      <c r="H249" s="13">
        <f>IF(D249="Material",B249*G249,0)</f>
        <v>16.000000000000004</v>
      </c>
      <c r="I249" s="13">
        <f>IF(D249="Labor",B249*G249,0)</f>
        <v>0</v>
      </c>
      <c r="J249" s="13">
        <f>H249+I249</f>
        <v>16.000000000000004</v>
      </c>
      <c r="K249" s="86" t="s">
        <v>511</v>
      </c>
    </row>
    <row r="250" spans="1:11" x14ac:dyDescent="0.3">
      <c r="A250" s="16" t="s">
        <v>513</v>
      </c>
      <c r="B250" s="20"/>
      <c r="C250" s="20"/>
      <c r="D250" s="20"/>
      <c r="E250" s="20"/>
      <c r="F250" s="20"/>
      <c r="G250" s="20"/>
      <c r="H250" s="88">
        <f>SUM(H246:H249)</f>
        <v>238.25</v>
      </c>
      <c r="I250" s="88">
        <f>SUM(I246:I249)</f>
        <v>0</v>
      </c>
      <c r="J250" s="88">
        <f>SUM(J246:J249)</f>
        <v>238.25</v>
      </c>
      <c r="K250" s="20"/>
    </row>
    <row r="252" spans="1:11" x14ac:dyDescent="0.3">
      <c r="A252" s="6" t="s">
        <v>514</v>
      </c>
    </row>
    <row r="253" spans="1:11" x14ac:dyDescent="0.3">
      <c r="A253" s="84" t="s">
        <v>515</v>
      </c>
      <c r="B253" s="85">
        <f>$B$75</f>
        <v>16</v>
      </c>
      <c r="C253" s="86" t="s">
        <v>243</v>
      </c>
      <c r="D253" s="84" t="s">
        <v>31</v>
      </c>
      <c r="E253" s="71" t="s">
        <v>421</v>
      </c>
      <c r="F253" s="86" t="s">
        <v>516</v>
      </c>
      <c r="G253" s="89">
        <f t="shared" ref="G253:G261" si="6">$B$74</f>
        <v>35</v>
      </c>
      <c r="H253" s="13">
        <f t="shared" ref="H253:H261" si="7">IF(D253="Material",B253*G253,0)</f>
        <v>0</v>
      </c>
      <c r="I253" s="13">
        <f t="shared" ref="I253:I261" si="8">IF(D253="Labor",B253*G253,0)</f>
        <v>560</v>
      </c>
      <c r="J253" s="13">
        <f t="shared" ref="J253:J261" si="9">H253+I253</f>
        <v>560</v>
      </c>
      <c r="K253" s="86" t="s">
        <v>517</v>
      </c>
    </row>
    <row r="254" spans="1:11" x14ac:dyDescent="0.3">
      <c r="A254" s="84" t="s">
        <v>518</v>
      </c>
      <c r="B254" s="85">
        <f>$B$110*$B$76</f>
        <v>38.533333333333331</v>
      </c>
      <c r="C254" s="86" t="s">
        <v>243</v>
      </c>
      <c r="D254" s="84" t="s">
        <v>31</v>
      </c>
      <c r="E254" s="71" t="s">
        <v>421</v>
      </c>
      <c r="F254" s="86" t="s">
        <v>519</v>
      </c>
      <c r="G254" s="89">
        <f t="shared" si="6"/>
        <v>35</v>
      </c>
      <c r="H254" s="13">
        <f t="shared" si="7"/>
        <v>0</v>
      </c>
      <c r="I254" s="13">
        <f t="shared" si="8"/>
        <v>1348.6666666666665</v>
      </c>
      <c r="J254" s="13">
        <f t="shared" si="9"/>
        <v>1348.6666666666665</v>
      </c>
      <c r="K254" s="86" t="s">
        <v>517</v>
      </c>
    </row>
    <row r="255" spans="1:11" x14ac:dyDescent="0.3">
      <c r="A255" s="84" t="s">
        <v>248</v>
      </c>
      <c r="B255" s="85">
        <f>$B$112*$B$77</f>
        <v>10.249999999999998</v>
      </c>
      <c r="C255" s="86" t="s">
        <v>243</v>
      </c>
      <c r="D255" s="84" t="s">
        <v>31</v>
      </c>
      <c r="E255" s="71" t="s">
        <v>421</v>
      </c>
      <c r="F255" s="86" t="s">
        <v>520</v>
      </c>
      <c r="G255" s="89">
        <f t="shared" si="6"/>
        <v>35</v>
      </c>
      <c r="H255" s="13">
        <f t="shared" si="7"/>
        <v>0</v>
      </c>
      <c r="I255" s="13">
        <f t="shared" si="8"/>
        <v>358.74999999999994</v>
      </c>
      <c r="J255" s="13">
        <f t="shared" si="9"/>
        <v>358.74999999999994</v>
      </c>
      <c r="K255" s="86" t="s">
        <v>517</v>
      </c>
    </row>
    <row r="256" spans="1:11" x14ac:dyDescent="0.3">
      <c r="A256" s="84" t="s">
        <v>251</v>
      </c>
      <c r="B256" s="85">
        <f>($B$190+$B$191)*(1+$B$67)*$B$78</f>
        <v>12.179783950617285</v>
      </c>
      <c r="C256" s="86" t="s">
        <v>243</v>
      </c>
      <c r="D256" s="84" t="s">
        <v>31</v>
      </c>
      <c r="E256" s="71" t="s">
        <v>421</v>
      </c>
      <c r="F256" s="86" t="s">
        <v>521</v>
      </c>
      <c r="G256" s="89">
        <f t="shared" si="6"/>
        <v>35</v>
      </c>
      <c r="H256" s="13">
        <f t="shared" si="7"/>
        <v>0</v>
      </c>
      <c r="I256" s="13">
        <f t="shared" si="8"/>
        <v>426.29243827160496</v>
      </c>
      <c r="J256" s="13">
        <f t="shared" si="9"/>
        <v>426.29243827160496</v>
      </c>
      <c r="K256" s="86" t="s">
        <v>517</v>
      </c>
    </row>
    <row r="257" spans="1:11" x14ac:dyDescent="0.3">
      <c r="A257" s="84" t="s">
        <v>522</v>
      </c>
      <c r="B257" s="85">
        <f>$B$86*$B$79</f>
        <v>21</v>
      </c>
      <c r="C257" s="86" t="s">
        <v>243</v>
      </c>
      <c r="D257" s="84" t="s">
        <v>31</v>
      </c>
      <c r="E257" s="71" t="s">
        <v>434</v>
      </c>
      <c r="F257" s="86" t="s">
        <v>523</v>
      </c>
      <c r="G257" s="89">
        <f t="shared" si="6"/>
        <v>35</v>
      </c>
      <c r="H257" s="13">
        <f t="shared" si="7"/>
        <v>0</v>
      </c>
      <c r="I257" s="13">
        <f t="shared" si="8"/>
        <v>735</v>
      </c>
      <c r="J257" s="13">
        <f t="shared" si="9"/>
        <v>735</v>
      </c>
      <c r="K257" s="86" t="s">
        <v>524</v>
      </c>
    </row>
    <row r="258" spans="1:11" x14ac:dyDescent="0.3">
      <c r="A258" s="84" t="s">
        <v>257</v>
      </c>
      <c r="B258" s="85">
        <f>$B$86*$B$80</f>
        <v>10.5</v>
      </c>
      <c r="C258" s="86" t="s">
        <v>243</v>
      </c>
      <c r="D258" s="84" t="s">
        <v>31</v>
      </c>
      <c r="E258" s="71" t="s">
        <v>434</v>
      </c>
      <c r="F258" s="86" t="s">
        <v>523</v>
      </c>
      <c r="G258" s="89">
        <f t="shared" si="6"/>
        <v>35</v>
      </c>
      <c r="H258" s="13">
        <f t="shared" si="7"/>
        <v>0</v>
      </c>
      <c r="I258" s="13">
        <f t="shared" si="8"/>
        <v>367.5</v>
      </c>
      <c r="J258" s="13">
        <f t="shared" si="9"/>
        <v>367.5</v>
      </c>
      <c r="K258" s="86" t="s">
        <v>517</v>
      </c>
    </row>
    <row r="259" spans="1:11" x14ac:dyDescent="0.3">
      <c r="A259" s="84" t="s">
        <v>525</v>
      </c>
      <c r="B259" s="85">
        <f>$B$86*$B$81</f>
        <v>14</v>
      </c>
      <c r="C259" s="86" t="s">
        <v>243</v>
      </c>
      <c r="D259" s="84" t="s">
        <v>31</v>
      </c>
      <c r="E259" s="71" t="s">
        <v>434</v>
      </c>
      <c r="F259" s="86" t="s">
        <v>523</v>
      </c>
      <c r="G259" s="89">
        <f t="shared" si="6"/>
        <v>35</v>
      </c>
      <c r="H259" s="13">
        <f t="shared" si="7"/>
        <v>0</v>
      </c>
      <c r="I259" s="13">
        <f t="shared" si="8"/>
        <v>490</v>
      </c>
      <c r="J259" s="13">
        <f t="shared" si="9"/>
        <v>490</v>
      </c>
      <c r="K259" s="86" t="s">
        <v>526</v>
      </c>
    </row>
    <row r="260" spans="1:11" x14ac:dyDescent="0.3">
      <c r="A260" s="84" t="s">
        <v>527</v>
      </c>
      <c r="B260" s="85">
        <f>$B$86*$B$82</f>
        <v>14</v>
      </c>
      <c r="C260" s="86" t="s">
        <v>243</v>
      </c>
      <c r="D260" s="84" t="s">
        <v>31</v>
      </c>
      <c r="E260" s="71" t="s">
        <v>434</v>
      </c>
      <c r="F260" s="86" t="s">
        <v>523</v>
      </c>
      <c r="G260" s="89">
        <f t="shared" si="6"/>
        <v>35</v>
      </c>
      <c r="H260" s="13">
        <f t="shared" si="7"/>
        <v>0</v>
      </c>
      <c r="I260" s="13">
        <f t="shared" si="8"/>
        <v>490</v>
      </c>
      <c r="J260" s="13">
        <f t="shared" si="9"/>
        <v>490</v>
      </c>
      <c r="K260" s="86" t="s">
        <v>517</v>
      </c>
    </row>
    <row r="261" spans="1:11" x14ac:dyDescent="0.3">
      <c r="A261" s="84" t="s">
        <v>261</v>
      </c>
      <c r="B261" s="85">
        <f>$B$192*(1+$B$67)*$B$83</f>
        <v>10.439814814814813</v>
      </c>
      <c r="C261" s="86" t="s">
        <v>243</v>
      </c>
      <c r="D261" s="84" t="s">
        <v>31</v>
      </c>
      <c r="E261" s="71" t="s">
        <v>434</v>
      </c>
      <c r="F261" s="86" t="s">
        <v>521</v>
      </c>
      <c r="G261" s="89">
        <f t="shared" si="6"/>
        <v>35</v>
      </c>
      <c r="H261" s="13">
        <f t="shared" si="7"/>
        <v>0</v>
      </c>
      <c r="I261" s="13">
        <f t="shared" si="8"/>
        <v>365.39351851851848</v>
      </c>
      <c r="J261" s="13">
        <f t="shared" si="9"/>
        <v>365.39351851851848</v>
      </c>
      <c r="K261" s="86" t="s">
        <v>528</v>
      </c>
    </row>
    <row r="262" spans="1:11" x14ac:dyDescent="0.3">
      <c r="A262" s="16" t="s">
        <v>529</v>
      </c>
      <c r="B262" s="20"/>
      <c r="C262" s="20"/>
      <c r="D262" s="20"/>
      <c r="E262" s="20"/>
      <c r="F262" s="20"/>
      <c r="G262" s="20"/>
      <c r="H262" s="88">
        <f>SUM(H253:H261)</f>
        <v>0</v>
      </c>
      <c r="I262" s="88">
        <f>SUM(I253:I261)</f>
        <v>5141.6026234567898</v>
      </c>
      <c r="J262" s="88">
        <f>SUM(J253:J261)</f>
        <v>5141.6026234567898</v>
      </c>
      <c r="K262" s="20"/>
    </row>
    <row r="264" spans="1:11" x14ac:dyDescent="0.3">
      <c r="A264" s="6" t="s">
        <v>530</v>
      </c>
    </row>
    <row r="265" spans="1:11" x14ac:dyDescent="0.3">
      <c r="A265" s="84" t="s">
        <v>531</v>
      </c>
      <c r="B265" s="87">
        <f>$B$203</f>
        <v>2</v>
      </c>
      <c r="C265" s="86" t="s">
        <v>532</v>
      </c>
      <c r="D265" s="84" t="s">
        <v>420</v>
      </c>
      <c r="E265" s="71" t="s">
        <v>421</v>
      </c>
      <c r="F265" s="86" t="s">
        <v>533</v>
      </c>
      <c r="G265" s="89">
        <f>SUMIFS(H208:H261,$D$208:$D$261,"Material",$E$208:$E$261,"Plant")/$B$86</f>
        <v>287.3984271017049</v>
      </c>
      <c r="H265" s="13">
        <f>IF(D265="Material",B265*G265,0)</f>
        <v>574.79685420340979</v>
      </c>
      <c r="I265" s="13">
        <f>IF(D265="Labor",B265*G265,0)</f>
        <v>0</v>
      </c>
      <c r="J265" s="13">
        <f>H265+I265</f>
        <v>574.79685420340979</v>
      </c>
      <c r="K265" s="86" t="s">
        <v>534</v>
      </c>
    </row>
    <row r="266" spans="1:11" x14ac:dyDescent="0.3">
      <c r="A266" s="84" t="s">
        <v>535</v>
      </c>
      <c r="B266" s="85">
        <f>$B$203*(SUMIFS(B208:B261,$D$208:$D$261,"Labor",$E$208:$E$261,"Plant")-$B$75)/$B$86</f>
        <v>8.7090167548500883</v>
      </c>
      <c r="C266" s="86" t="s">
        <v>243</v>
      </c>
      <c r="D266" s="84" t="s">
        <v>31</v>
      </c>
      <c r="E266" s="71" t="s">
        <v>421</v>
      </c>
      <c r="F266" s="86" t="s">
        <v>536</v>
      </c>
      <c r="G266" s="89">
        <f>$B$74</f>
        <v>35</v>
      </c>
      <c r="H266" s="13">
        <f>IF(D266="Material",B266*G266,0)</f>
        <v>0</v>
      </c>
      <c r="I266" s="13">
        <f>IF(D266="Labor",B266*G266,0)</f>
        <v>304.81558641975312</v>
      </c>
      <c r="J266" s="13">
        <f>H266+I266</f>
        <v>304.81558641975312</v>
      </c>
      <c r="K266" s="86" t="s">
        <v>517</v>
      </c>
    </row>
    <row r="267" spans="1:11" x14ac:dyDescent="0.3">
      <c r="A267" s="84" t="s">
        <v>537</v>
      </c>
      <c r="B267" s="85">
        <f>$B$203*($B$79+$B$80)</f>
        <v>4.5</v>
      </c>
      <c r="C267" s="86" t="s">
        <v>243</v>
      </c>
      <c r="D267" s="84" t="s">
        <v>31</v>
      </c>
      <c r="E267" s="71" t="s">
        <v>434</v>
      </c>
      <c r="F267" s="86" t="s">
        <v>538</v>
      </c>
      <c r="G267" s="89">
        <f>$B$74</f>
        <v>35</v>
      </c>
      <c r="H267" s="13">
        <f>IF(D267="Material",B267*G267,0)</f>
        <v>0</v>
      </c>
      <c r="I267" s="13">
        <f>IF(D267="Labor",B267*G267,0)</f>
        <v>157.5</v>
      </c>
      <c r="J267" s="13">
        <f>H267+I267</f>
        <v>157.5</v>
      </c>
      <c r="K267" s="86" t="s">
        <v>517</v>
      </c>
    </row>
    <row r="268" spans="1:11" x14ac:dyDescent="0.3">
      <c r="A268" s="16" t="s">
        <v>539</v>
      </c>
      <c r="B268" s="20"/>
      <c r="C268" s="20"/>
      <c r="D268" s="20"/>
      <c r="E268" s="20"/>
      <c r="F268" s="20"/>
      <c r="G268" s="20"/>
      <c r="H268" s="88">
        <f>SUM(H265:H267)</f>
        <v>574.79685420340979</v>
      </c>
      <c r="I268" s="88">
        <f>SUM(I265:I267)</f>
        <v>462.31558641975312</v>
      </c>
      <c r="J268" s="88">
        <f>SUM(J265:J267)</f>
        <v>1037.1124406231629</v>
      </c>
      <c r="K268" s="20"/>
    </row>
    <row r="270" spans="1:11" x14ac:dyDescent="0.3">
      <c r="A270" s="90" t="s">
        <v>540</v>
      </c>
      <c r="B270" s="91"/>
      <c r="C270" s="91"/>
      <c r="D270" s="91"/>
      <c r="E270" s="91"/>
      <c r="F270" s="91"/>
      <c r="G270" s="91"/>
      <c r="H270" s="92">
        <f>H219+H224+H234+H238+H243+H250+H262+H268</f>
        <v>6249.9724632569078</v>
      </c>
      <c r="I270" s="92">
        <f>I219+I224+I234+I238+I243+I250+I262+I268</f>
        <v>5603.9182098765432</v>
      </c>
      <c r="J270" s="92">
        <f>H270+I270</f>
        <v>11853.89067313345</v>
      </c>
      <c r="K270" s="91"/>
    </row>
    <row r="272" spans="1:11" x14ac:dyDescent="0.3">
      <c r="A272" s="6" t="s">
        <v>541</v>
      </c>
    </row>
    <row r="273" spans="1:11" x14ac:dyDescent="0.3">
      <c r="A273" s="16" t="s">
        <v>542</v>
      </c>
      <c r="B273" s="20"/>
      <c r="C273" s="20"/>
      <c r="D273" s="20"/>
      <c r="E273" s="20"/>
      <c r="F273" s="20"/>
      <c r="G273" s="20"/>
      <c r="H273" s="88">
        <f>SUMIFS(H208:H267,$D$208:$D$267,"Material",$E$208:$E$267,"Plant")</f>
        <v>4598.3748336272783</v>
      </c>
      <c r="I273" s="88">
        <f>SUMIFS(I208:I267,$D$208:$D$267,"Labor",$E$208:$E$267,"Plant")</f>
        <v>2998.5246913580249</v>
      </c>
      <c r="J273" s="88">
        <f>H273+I273</f>
        <v>7596.8995249853033</v>
      </c>
      <c r="K273" s="93" t="s">
        <v>543</v>
      </c>
    </row>
    <row r="274" spans="1:11" x14ac:dyDescent="0.3">
      <c r="A274" s="6" t="s">
        <v>544</v>
      </c>
      <c r="B274" s="94">
        <f>SUMIFS(B208:B267,$D$208:$D$267,"Labor",$E$208:$E$267,"Plant")</f>
        <v>85.672134038800706</v>
      </c>
      <c r="C274" s="2" t="s">
        <v>243</v>
      </c>
      <c r="K274" s="2" t="s">
        <v>545</v>
      </c>
    </row>
    <row r="275" spans="1:11" x14ac:dyDescent="0.3">
      <c r="A275" s="16" t="s">
        <v>546</v>
      </c>
      <c r="B275" s="20"/>
      <c r="C275" s="20"/>
      <c r="D275" s="20"/>
      <c r="E275" s="20"/>
      <c r="F275" s="20"/>
      <c r="G275" s="20"/>
      <c r="H275" s="88">
        <f>SUMIFS(H208:H267,$D$208:$D$267,"Material",$E$208:$E$267,"Site")</f>
        <v>1651.5976296296294</v>
      </c>
      <c r="I275" s="88">
        <f>SUMIFS(I208:I267,$D$208:$D$267,"Labor",$E$208:$E$267,"Site")</f>
        <v>2605.3935185185182</v>
      </c>
      <c r="J275" s="88">
        <f>H275+I275</f>
        <v>4256.9911481481477</v>
      </c>
      <c r="K275" s="93" t="s">
        <v>547</v>
      </c>
    </row>
    <row r="276" spans="1:11" x14ac:dyDescent="0.3">
      <c r="A276" s="2" t="s">
        <v>548</v>
      </c>
      <c r="J276" s="95">
        <f>$J$273+$J$275-$J$270</f>
        <v>0</v>
      </c>
    </row>
    <row r="278" spans="1:11" x14ac:dyDescent="0.3">
      <c r="A278" s="21" t="s">
        <v>549</v>
      </c>
      <c r="J278" s="96">
        <f>Manufacturing!$B$32+$J$275*(1+$B$71)</f>
        <v>16369.13371410935</v>
      </c>
      <c r="K278" s="2" t="s">
        <v>550</v>
      </c>
    </row>
    <row r="279" spans="1:11" x14ac:dyDescent="0.3">
      <c r="A279" s="21" t="s">
        <v>551</v>
      </c>
      <c r="J279" s="97">
        <f>$J$278/$B$86</f>
        <v>1169.2238367220964</v>
      </c>
    </row>
    <row r="280" spans="1:11" x14ac:dyDescent="0.3">
      <c r="A280" s="2" t="s">
        <v>552</v>
      </c>
    </row>
    <row r="281" spans="1:11" x14ac:dyDescent="0.3">
      <c r="A281" s="2" t="s">
        <v>553</v>
      </c>
    </row>
  </sheetData>
  <dataValidations count="1">
    <dataValidation type="list" allowBlank="1" sqref="E208:E267"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5" width="12" customWidth="1"/>
    <col min="6" max="6" width="34" customWidth="1"/>
    <col min="7" max="7" width="12" customWidth="1"/>
    <col min="8" max="10" width="13" customWidth="1"/>
    <col min="11" max="11" width="60" customWidth="1"/>
  </cols>
  <sheetData>
    <row r="1" spans="1:11" ht="17.399999999999999" x14ac:dyDescent="0.3">
      <c r="A1" s="57" t="s">
        <v>554</v>
      </c>
    </row>
    <row r="2" spans="1:11" ht="58.05" customHeight="1" x14ac:dyDescent="0.3">
      <c r="A2" s="121" t="s">
        <v>555</v>
      </c>
      <c r="B2" s="122"/>
      <c r="C2" s="122"/>
      <c r="D2" s="122"/>
      <c r="E2" s="122"/>
      <c r="F2" s="122"/>
      <c r="G2" s="122"/>
      <c r="H2" s="122"/>
      <c r="I2" s="122"/>
      <c r="J2" s="122"/>
    </row>
    <row r="3" spans="1:11" x14ac:dyDescent="0.3">
      <c r="A3" s="3" t="s">
        <v>123</v>
      </c>
    </row>
    <row r="5" spans="1:11" x14ac:dyDescent="0.3">
      <c r="A5" s="4" t="s">
        <v>556</v>
      </c>
      <c r="B5" s="5"/>
      <c r="C5" s="5"/>
      <c r="D5" s="5"/>
      <c r="E5" s="5"/>
      <c r="F5" s="5"/>
      <c r="G5" s="5"/>
      <c r="H5" s="5"/>
      <c r="I5" s="5"/>
      <c r="J5" s="5"/>
      <c r="K5" s="5"/>
    </row>
    <row r="6" spans="1:11" x14ac:dyDescent="0.3">
      <c r="A6" s="21" t="s">
        <v>16</v>
      </c>
      <c r="B6" s="72" t="str">
        <f>Summary!$B$8</f>
        <v>flat</v>
      </c>
      <c r="C6" s="2"/>
      <c r="D6" s="2" t="s">
        <v>557</v>
      </c>
    </row>
    <row r="8" spans="1:11" x14ac:dyDescent="0.3">
      <c r="A8" s="11" t="s">
        <v>558</v>
      </c>
      <c r="B8" s="11" t="s">
        <v>559</v>
      </c>
      <c r="C8" s="11" t="s">
        <v>409</v>
      </c>
      <c r="D8" s="11" t="s">
        <v>17</v>
      </c>
      <c r="E8" s="11" t="s">
        <v>560</v>
      </c>
      <c r="F8" s="11" t="s">
        <v>561</v>
      </c>
    </row>
    <row r="9" spans="1:11" x14ac:dyDescent="0.3">
      <c r="A9" s="21" t="s">
        <v>562</v>
      </c>
      <c r="B9" s="98">
        <f>IF($B$6="shed",E9,D9)</f>
        <v>6.25E-2</v>
      </c>
      <c r="C9" s="2" t="s">
        <v>563</v>
      </c>
      <c r="D9" s="99">
        <v>6.25E-2</v>
      </c>
      <c r="E9" s="99">
        <v>1</v>
      </c>
      <c r="F9" s="2" t="s">
        <v>564</v>
      </c>
    </row>
    <row r="10" spans="1:11" x14ac:dyDescent="0.3">
      <c r="A10" s="21" t="s">
        <v>565</v>
      </c>
      <c r="B10" s="79">
        <f>IF($B$6="shed",E10,D10)</f>
        <v>0</v>
      </c>
      <c r="C10" s="2" t="s">
        <v>566</v>
      </c>
      <c r="D10" s="9">
        <v>0</v>
      </c>
      <c r="E10" s="9">
        <v>1</v>
      </c>
      <c r="F10" s="2" t="s">
        <v>567</v>
      </c>
    </row>
    <row r="12" spans="1:11" x14ac:dyDescent="0.3">
      <c r="A12" s="4" t="s">
        <v>568</v>
      </c>
      <c r="B12" s="5"/>
      <c r="C12" s="5"/>
      <c r="D12" s="5"/>
      <c r="E12" s="5"/>
      <c r="F12" s="5"/>
      <c r="G12" s="5"/>
      <c r="H12" s="5"/>
      <c r="I12" s="5"/>
      <c r="J12" s="5"/>
      <c r="K12" s="5"/>
    </row>
    <row r="13" spans="1:11" x14ac:dyDescent="0.3">
      <c r="A13" s="21" t="s">
        <v>569</v>
      </c>
      <c r="B13" s="72">
        <f>Walls!$B$16</f>
        <v>4</v>
      </c>
      <c r="C13" s="2" t="s">
        <v>140</v>
      </c>
      <c r="D13" s="2" t="s">
        <v>570</v>
      </c>
    </row>
    <row r="14" spans="1:11" x14ac:dyDescent="0.3">
      <c r="A14" s="21" t="s">
        <v>571</v>
      </c>
      <c r="B14" s="72">
        <f>Walls!$B$19</f>
        <v>96</v>
      </c>
      <c r="C14" s="2" t="s">
        <v>145</v>
      </c>
      <c r="D14" s="2" t="s">
        <v>570</v>
      </c>
    </row>
    <row r="15" spans="1:11" x14ac:dyDescent="0.3">
      <c r="A15" s="21" t="s">
        <v>289</v>
      </c>
      <c r="B15" s="72">
        <f>Walls!$B$104</f>
        <v>168</v>
      </c>
      <c r="C15" s="2" t="s">
        <v>145</v>
      </c>
      <c r="D15" s="2" t="s">
        <v>570</v>
      </c>
    </row>
    <row r="16" spans="1:11" x14ac:dyDescent="0.3">
      <c r="A16" s="21" t="s">
        <v>572</v>
      </c>
      <c r="B16" s="72">
        <f>Walls!$B$105</f>
        <v>144</v>
      </c>
      <c r="C16" s="2" t="s">
        <v>145</v>
      </c>
      <c r="D16" s="2" t="s">
        <v>570</v>
      </c>
    </row>
    <row r="17" spans="1:11" x14ac:dyDescent="0.3">
      <c r="A17" s="21" t="s">
        <v>281</v>
      </c>
      <c r="B17" s="72">
        <f>Walls!$B$100</f>
        <v>11.5</v>
      </c>
      <c r="C17" s="2" t="s">
        <v>145</v>
      </c>
      <c r="D17" s="2" t="s">
        <v>570</v>
      </c>
    </row>
    <row r="18" spans="1:11" x14ac:dyDescent="0.3">
      <c r="A18" s="21" t="s">
        <v>156</v>
      </c>
      <c r="B18" s="72">
        <f>Walls!$B$24</f>
        <v>1.5</v>
      </c>
      <c r="C18" s="2" t="s">
        <v>145</v>
      </c>
      <c r="D18" s="2" t="s">
        <v>570</v>
      </c>
    </row>
    <row r="19" spans="1:11" x14ac:dyDescent="0.3">
      <c r="A19" s="21" t="s">
        <v>167</v>
      </c>
      <c r="B19" s="72">
        <f>Walls!$B$30</f>
        <v>48</v>
      </c>
      <c r="C19" s="2" t="s">
        <v>145</v>
      </c>
      <c r="D19" s="2" t="s">
        <v>570</v>
      </c>
    </row>
    <row r="20" spans="1:11" x14ac:dyDescent="0.3">
      <c r="A20" s="21" t="s">
        <v>169</v>
      </c>
      <c r="B20" s="72">
        <f>Walls!$B$31</f>
        <v>12</v>
      </c>
      <c r="C20" s="2" t="s">
        <v>145</v>
      </c>
      <c r="D20" s="2" t="s">
        <v>570</v>
      </c>
    </row>
    <row r="21" spans="1:11" x14ac:dyDescent="0.3">
      <c r="A21" s="21" t="s">
        <v>573</v>
      </c>
      <c r="B21" s="76">
        <f>Walls!$B$67</f>
        <v>0.1</v>
      </c>
      <c r="C21" s="2" t="s">
        <v>227</v>
      </c>
      <c r="D21" s="2" t="s">
        <v>570</v>
      </c>
    </row>
    <row r="22" spans="1:11" x14ac:dyDescent="0.3">
      <c r="A22" s="21" t="s">
        <v>574</v>
      </c>
      <c r="B22" s="76">
        <f>Walls!$B$70</f>
        <v>0.1</v>
      </c>
      <c r="C22" s="2" t="s">
        <v>227</v>
      </c>
      <c r="D22" s="2" t="s">
        <v>570</v>
      </c>
    </row>
    <row r="23" spans="1:11" x14ac:dyDescent="0.3">
      <c r="A23" s="21" t="s">
        <v>229</v>
      </c>
      <c r="B23" s="76">
        <f>Walls!$B$68</f>
        <v>0.1</v>
      </c>
      <c r="C23" s="2" t="s">
        <v>227</v>
      </c>
      <c r="D23" s="2" t="s">
        <v>570</v>
      </c>
    </row>
    <row r="24" spans="1:11" x14ac:dyDescent="0.3">
      <c r="A24" s="21" t="s">
        <v>239</v>
      </c>
      <c r="B24" s="30">
        <f>Walls!$B$74</f>
        <v>35</v>
      </c>
      <c r="C24" s="2" t="s">
        <v>240</v>
      </c>
      <c r="D24" s="2" t="s">
        <v>570</v>
      </c>
    </row>
    <row r="25" spans="1:11" x14ac:dyDescent="0.3">
      <c r="A25" s="21" t="s">
        <v>173</v>
      </c>
      <c r="B25" s="72">
        <f>Walls!$B$33</f>
        <v>2</v>
      </c>
      <c r="C25" s="2" t="s">
        <v>140</v>
      </c>
      <c r="D25" s="2" t="s">
        <v>570</v>
      </c>
    </row>
    <row r="26" spans="1:11" x14ac:dyDescent="0.3">
      <c r="A26" s="21" t="s">
        <v>575</v>
      </c>
      <c r="B26" s="30">
        <f>Walls!$B$64</f>
        <v>200</v>
      </c>
      <c r="C26" s="2" t="s">
        <v>219</v>
      </c>
      <c r="D26" s="2" t="s">
        <v>570</v>
      </c>
    </row>
    <row r="27" spans="1:11" x14ac:dyDescent="0.3">
      <c r="A27" s="21" t="s">
        <v>576</v>
      </c>
      <c r="B27" s="30">
        <f>Walls!$B$65</f>
        <v>20</v>
      </c>
      <c r="C27" s="2" t="s">
        <v>219</v>
      </c>
      <c r="D27" s="2" t="s">
        <v>570</v>
      </c>
    </row>
    <row r="29" spans="1:11" x14ac:dyDescent="0.3">
      <c r="A29" s="4" t="s">
        <v>577</v>
      </c>
      <c r="B29" s="5"/>
      <c r="C29" s="5"/>
      <c r="D29" s="5"/>
      <c r="E29" s="5"/>
      <c r="F29" s="5"/>
      <c r="G29" s="5"/>
      <c r="H29" s="5"/>
      <c r="I29" s="5"/>
      <c r="J29" s="5"/>
      <c r="K29" s="5"/>
    </row>
    <row r="30" spans="1:11" x14ac:dyDescent="0.3">
      <c r="A30" s="21" t="s">
        <v>578</v>
      </c>
      <c r="B30" s="71">
        <v>0</v>
      </c>
      <c r="C30" s="2" t="s">
        <v>145</v>
      </c>
      <c r="D30" s="2" t="s">
        <v>579</v>
      </c>
    </row>
    <row r="31" spans="1:11" x14ac:dyDescent="0.3">
      <c r="A31" s="21" t="s">
        <v>580</v>
      </c>
      <c r="B31" s="71">
        <v>0</v>
      </c>
      <c r="C31" s="2" t="s">
        <v>145</v>
      </c>
      <c r="D31" s="2" t="s">
        <v>581</v>
      </c>
    </row>
    <row r="32" spans="1:11" x14ac:dyDescent="0.3">
      <c r="A32" s="21" t="s">
        <v>582</v>
      </c>
      <c r="B32" s="71">
        <v>6</v>
      </c>
      <c r="C32" s="2" t="s">
        <v>145</v>
      </c>
      <c r="D32" s="2" t="s">
        <v>583</v>
      </c>
    </row>
    <row r="33" spans="1:11" x14ac:dyDescent="0.3">
      <c r="A33" s="21" t="s">
        <v>584</v>
      </c>
      <c r="B33" s="71">
        <v>13.33</v>
      </c>
      <c r="C33" s="2" t="s">
        <v>585</v>
      </c>
      <c r="D33" s="2" t="s">
        <v>586</v>
      </c>
    </row>
    <row r="34" spans="1:11" x14ac:dyDescent="0.3">
      <c r="A34" s="21" t="s">
        <v>587</v>
      </c>
      <c r="B34" s="71" t="s">
        <v>588</v>
      </c>
      <c r="C34" s="2"/>
      <c r="D34" s="2" t="s">
        <v>589</v>
      </c>
    </row>
    <row r="35" spans="1:11" x14ac:dyDescent="0.3">
      <c r="A35" s="21" t="s">
        <v>590</v>
      </c>
      <c r="B35" s="71">
        <v>6</v>
      </c>
      <c r="C35" s="2" t="s">
        <v>145</v>
      </c>
      <c r="D35" s="2" t="s">
        <v>591</v>
      </c>
    </row>
    <row r="36" spans="1:11" x14ac:dyDescent="0.3">
      <c r="A36" s="21" t="s">
        <v>592</v>
      </c>
      <c r="B36" s="71">
        <v>1.625</v>
      </c>
      <c r="C36" s="2" t="s">
        <v>145</v>
      </c>
      <c r="D36" s="2" t="s">
        <v>593</v>
      </c>
    </row>
    <row r="37" spans="1:11" x14ac:dyDescent="0.3">
      <c r="A37" s="21" t="s">
        <v>594</v>
      </c>
      <c r="B37" s="9">
        <v>54</v>
      </c>
      <c r="C37" s="2" t="s">
        <v>595</v>
      </c>
      <c r="D37" s="2" t="s">
        <v>487</v>
      </c>
    </row>
    <row r="38" spans="1:11" x14ac:dyDescent="0.3">
      <c r="A38" s="21" t="s">
        <v>596</v>
      </c>
      <c r="B38" s="71">
        <v>16</v>
      </c>
      <c r="C38" s="2" t="s">
        <v>164</v>
      </c>
      <c r="D38" s="2" t="s">
        <v>597</v>
      </c>
    </row>
    <row r="39" spans="1:11" x14ac:dyDescent="0.3">
      <c r="A39" s="21" t="s">
        <v>598</v>
      </c>
      <c r="B39" s="71">
        <v>2</v>
      </c>
      <c r="C39" s="2" t="s">
        <v>145</v>
      </c>
      <c r="D39" s="2" t="s">
        <v>599</v>
      </c>
    </row>
    <row r="40" spans="1:11" x14ac:dyDescent="0.3">
      <c r="A40" s="21" t="s">
        <v>600</v>
      </c>
      <c r="B40" s="71">
        <v>6.5</v>
      </c>
      <c r="C40" s="2" t="s">
        <v>145</v>
      </c>
      <c r="D40" s="2" t="s">
        <v>601</v>
      </c>
    </row>
    <row r="41" spans="1:11" x14ac:dyDescent="0.3">
      <c r="A41" s="21" t="s">
        <v>602</v>
      </c>
      <c r="B41" s="71">
        <v>2</v>
      </c>
      <c r="C41" s="2" t="s">
        <v>145</v>
      </c>
      <c r="D41" s="2" t="s">
        <v>603</v>
      </c>
    </row>
    <row r="42" spans="1:11" x14ac:dyDescent="0.3">
      <c r="A42" s="21" t="s">
        <v>604</v>
      </c>
      <c r="B42" s="71">
        <v>35</v>
      </c>
      <c r="C42" s="2" t="s">
        <v>211</v>
      </c>
      <c r="D42" s="2" t="s">
        <v>605</v>
      </c>
    </row>
    <row r="43" spans="1:11" x14ac:dyDescent="0.3">
      <c r="A43" s="21" t="s">
        <v>606</v>
      </c>
      <c r="B43" s="71">
        <v>4</v>
      </c>
      <c r="C43" s="2" t="s">
        <v>607</v>
      </c>
      <c r="D43" s="2" t="s">
        <v>608</v>
      </c>
    </row>
    <row r="44" spans="1:11" x14ac:dyDescent="0.3">
      <c r="A44" s="21" t="s">
        <v>609</v>
      </c>
      <c r="B44" s="71">
        <v>8</v>
      </c>
      <c r="C44" s="2" t="s">
        <v>140</v>
      </c>
      <c r="D44" s="2" t="s">
        <v>610</v>
      </c>
    </row>
    <row r="46" spans="1:11" x14ac:dyDescent="0.3">
      <c r="A46" s="4" t="s">
        <v>611</v>
      </c>
      <c r="B46" s="5"/>
      <c r="C46" s="5"/>
      <c r="D46" s="5"/>
      <c r="E46" s="5"/>
      <c r="F46" s="5"/>
      <c r="G46" s="5"/>
      <c r="H46" s="5"/>
      <c r="I46" s="5"/>
      <c r="J46" s="5"/>
      <c r="K46" s="5"/>
    </row>
    <row r="47" spans="1:11" x14ac:dyDescent="0.3">
      <c r="A47" s="21" t="s">
        <v>612</v>
      </c>
      <c r="B47" s="75">
        <v>2.42</v>
      </c>
      <c r="C47" s="2" t="s">
        <v>613</v>
      </c>
      <c r="D47" s="2" t="s">
        <v>614</v>
      </c>
    </row>
    <row r="48" spans="1:11" x14ac:dyDescent="0.3">
      <c r="A48" s="21" t="s">
        <v>615</v>
      </c>
      <c r="B48" s="75">
        <v>28</v>
      </c>
      <c r="C48" s="2" t="s">
        <v>616</v>
      </c>
      <c r="D48" s="2" t="s">
        <v>617</v>
      </c>
    </row>
    <row r="49" spans="1:11" x14ac:dyDescent="0.3">
      <c r="A49" s="21" t="s">
        <v>618</v>
      </c>
      <c r="B49" s="75">
        <v>1500</v>
      </c>
      <c r="C49" s="2" t="s">
        <v>619</v>
      </c>
      <c r="D49" s="2" t="s">
        <v>620</v>
      </c>
    </row>
    <row r="50" spans="1:11" x14ac:dyDescent="0.3">
      <c r="A50" s="21" t="s">
        <v>621</v>
      </c>
      <c r="B50" s="75">
        <v>8</v>
      </c>
      <c r="C50" s="2" t="s">
        <v>622</v>
      </c>
      <c r="D50" s="2" t="s">
        <v>623</v>
      </c>
    </row>
    <row r="52" spans="1:11" x14ac:dyDescent="0.3">
      <c r="A52" s="4" t="s">
        <v>624</v>
      </c>
      <c r="B52" s="5"/>
      <c r="C52" s="5"/>
      <c r="D52" s="5"/>
      <c r="E52" s="5"/>
      <c r="F52" s="5"/>
      <c r="G52" s="5"/>
      <c r="H52" s="5"/>
      <c r="I52" s="5"/>
      <c r="J52" s="5"/>
      <c r="K52" s="5"/>
    </row>
    <row r="53" spans="1:11" x14ac:dyDescent="0.3">
      <c r="A53" s="21" t="s">
        <v>625</v>
      </c>
      <c r="B53" s="77">
        <v>0.12</v>
      </c>
      <c r="C53" s="2" t="s">
        <v>626</v>
      </c>
      <c r="D53" s="2" t="s">
        <v>627</v>
      </c>
    </row>
    <row r="54" spans="1:11" x14ac:dyDescent="0.3">
      <c r="A54" s="21" t="s">
        <v>628</v>
      </c>
      <c r="B54" s="77">
        <v>0.03</v>
      </c>
      <c r="C54" s="2" t="s">
        <v>626</v>
      </c>
      <c r="D54" s="2" t="s">
        <v>629</v>
      </c>
    </row>
    <row r="55" spans="1:11" x14ac:dyDescent="0.3">
      <c r="A55" s="21" t="s">
        <v>630</v>
      </c>
      <c r="B55" s="78">
        <v>1.5</v>
      </c>
      <c r="C55" s="2" t="s">
        <v>252</v>
      </c>
      <c r="D55" s="2" t="s">
        <v>631</v>
      </c>
    </row>
    <row r="56" spans="1:11" x14ac:dyDescent="0.3">
      <c r="A56" s="21" t="s">
        <v>632</v>
      </c>
      <c r="B56" s="78">
        <v>2</v>
      </c>
      <c r="C56" s="2" t="s">
        <v>252</v>
      </c>
      <c r="D56" s="2" t="s">
        <v>633</v>
      </c>
    </row>
    <row r="57" spans="1:11" x14ac:dyDescent="0.3">
      <c r="A57" s="21" t="s">
        <v>634</v>
      </c>
      <c r="B57" s="7">
        <v>32</v>
      </c>
      <c r="C57" s="2" t="s">
        <v>243</v>
      </c>
      <c r="D57" s="2" t="s">
        <v>635</v>
      </c>
    </row>
    <row r="59" spans="1:11" x14ac:dyDescent="0.3">
      <c r="A59" s="4" t="s">
        <v>636</v>
      </c>
      <c r="B59" s="5"/>
      <c r="C59" s="5"/>
      <c r="D59" s="5"/>
      <c r="E59" s="5"/>
      <c r="F59" s="5"/>
      <c r="G59" s="5"/>
      <c r="H59" s="5"/>
      <c r="I59" s="5"/>
      <c r="J59" s="5"/>
      <c r="K59" s="5"/>
    </row>
    <row r="60" spans="1:11" x14ac:dyDescent="0.3">
      <c r="A60" s="21" t="s">
        <v>637</v>
      </c>
      <c r="B60" s="80">
        <f>IF($B$6="shed",$B$16/12*$B$9,0)</f>
        <v>0</v>
      </c>
      <c r="C60" s="2" t="s">
        <v>145</v>
      </c>
      <c r="D60" s="2" t="s">
        <v>638</v>
      </c>
    </row>
    <row r="61" spans="1:11" x14ac:dyDescent="0.3">
      <c r="A61" s="21" t="s">
        <v>639</v>
      </c>
      <c r="B61" s="80">
        <f>IF($B$6="shed",ROUND($B$14+$B$60,0),$B$14)</f>
        <v>96</v>
      </c>
      <c r="C61" s="2" t="s">
        <v>145</v>
      </c>
      <c r="D61" s="2" t="s">
        <v>640</v>
      </c>
    </row>
    <row r="62" spans="1:11" x14ac:dyDescent="0.3">
      <c r="A62" s="21" t="s">
        <v>641</v>
      </c>
      <c r="B62" s="80">
        <f>$B$14+$B$60</f>
        <v>96</v>
      </c>
      <c r="C62" s="2" t="s">
        <v>145</v>
      </c>
      <c r="D62" s="2" t="s">
        <v>642</v>
      </c>
    </row>
    <row r="63" spans="1:11" x14ac:dyDescent="0.3">
      <c r="A63" s="21" t="s">
        <v>643</v>
      </c>
      <c r="B63" s="80">
        <f>$B$15+2*$B$32</f>
        <v>180</v>
      </c>
      <c r="C63" s="2" t="s">
        <v>145</v>
      </c>
      <c r="D63" s="2"/>
    </row>
    <row r="64" spans="1:11" x14ac:dyDescent="0.3">
      <c r="A64" s="21" t="s">
        <v>644</v>
      </c>
      <c r="B64" s="80">
        <f>$B$16+$B$30+$B$31</f>
        <v>144</v>
      </c>
      <c r="C64" s="2" t="s">
        <v>145</v>
      </c>
      <c r="D64" s="2" t="s">
        <v>645</v>
      </c>
    </row>
    <row r="65" spans="1:4" x14ac:dyDescent="0.3">
      <c r="A65" s="21" t="s">
        <v>646</v>
      </c>
      <c r="B65" s="79">
        <f>MAX(1,ROUND($B$63/12/$B$33,0))</f>
        <v>1</v>
      </c>
      <c r="C65" s="2" t="s">
        <v>140</v>
      </c>
      <c r="D65" s="2" t="s">
        <v>647</v>
      </c>
    </row>
    <row r="66" spans="1:4" x14ac:dyDescent="0.3">
      <c r="A66" s="21" t="s">
        <v>648</v>
      </c>
      <c r="B66" s="98">
        <f>IF($B$6="shed",SQRT(1+($B$9/12)^2),1)</f>
        <v>1</v>
      </c>
      <c r="C66" s="2"/>
      <c r="D66" s="2" t="s">
        <v>649</v>
      </c>
    </row>
    <row r="67" spans="1:4" x14ac:dyDescent="0.3">
      <c r="A67" s="21" t="s">
        <v>650</v>
      </c>
      <c r="B67" s="80">
        <f>IF($B$6="shed",0,($B$64/12*$B$9)/2)</f>
        <v>0.375</v>
      </c>
      <c r="C67" s="2" t="s">
        <v>145</v>
      </c>
      <c r="D67" s="2" t="s">
        <v>651</v>
      </c>
    </row>
    <row r="68" spans="1:4" x14ac:dyDescent="0.3">
      <c r="A68" s="21" t="s">
        <v>652</v>
      </c>
      <c r="B68" s="80">
        <f>$B$63/$B$65</f>
        <v>180</v>
      </c>
      <c r="C68" s="2" t="s">
        <v>145</v>
      </c>
      <c r="D68" s="2" t="s">
        <v>653</v>
      </c>
    </row>
    <row r="69" spans="1:4" x14ac:dyDescent="0.3">
      <c r="A69" s="21" t="s">
        <v>654</v>
      </c>
      <c r="B69" s="80">
        <f>$B$64*$B$66</f>
        <v>144</v>
      </c>
      <c r="C69" s="2" t="s">
        <v>145</v>
      </c>
      <c r="D69" s="2" t="s">
        <v>655</v>
      </c>
    </row>
    <row r="70" spans="1:4" x14ac:dyDescent="0.3">
      <c r="A70" s="21" t="s">
        <v>656</v>
      </c>
      <c r="B70" s="81">
        <f>$B$63*$B$69/144</f>
        <v>180</v>
      </c>
      <c r="C70" s="2" t="s">
        <v>292</v>
      </c>
      <c r="D70" s="2" t="s">
        <v>657</v>
      </c>
    </row>
    <row r="71" spans="1:4" x14ac:dyDescent="0.3">
      <c r="A71" s="21" t="s">
        <v>658</v>
      </c>
      <c r="B71" s="79">
        <f>INT(($B$68-$B$36)/$B$38)+2</f>
        <v>13</v>
      </c>
      <c r="C71" s="2" t="s">
        <v>140</v>
      </c>
      <c r="D71" s="2" t="s">
        <v>659</v>
      </c>
    </row>
    <row r="72" spans="1:4" x14ac:dyDescent="0.3">
      <c r="A72" s="21" t="s">
        <v>660</v>
      </c>
      <c r="B72" s="79">
        <f>INT(($B$69-2*$B$20)/$B$19)+1+IF(MOD($B$69-2*$B$20,$B$19)&gt;0,1,0)</f>
        <v>4</v>
      </c>
      <c r="C72" s="2" t="s">
        <v>140</v>
      </c>
      <c r="D72" s="2" t="s">
        <v>661</v>
      </c>
    </row>
    <row r="73" spans="1:4" x14ac:dyDescent="0.3">
      <c r="A73" s="21" t="s">
        <v>662</v>
      </c>
      <c r="B73" s="80">
        <f>$B$39+$B$18+$B$35+$B$41</f>
        <v>11.5</v>
      </c>
      <c r="C73" s="2" t="s">
        <v>145</v>
      </c>
      <c r="D73" s="2" t="s">
        <v>663</v>
      </c>
    </row>
    <row r="74" spans="1:4" x14ac:dyDescent="0.3">
      <c r="A74" s="21" t="s">
        <v>664</v>
      </c>
      <c r="B74" s="80">
        <f>$B$73-$B$40</f>
        <v>5</v>
      </c>
      <c r="C74" s="2" t="s">
        <v>145</v>
      </c>
      <c r="D74" s="2" t="s">
        <v>665</v>
      </c>
    </row>
    <row r="75" spans="1:4" x14ac:dyDescent="0.3">
      <c r="A75" s="21" t="s">
        <v>666</v>
      </c>
      <c r="B75" s="81">
        <f>$B$65*$B$71*$B$69/12</f>
        <v>156</v>
      </c>
      <c r="C75" s="2" t="s">
        <v>295</v>
      </c>
      <c r="D75" s="2" t="s">
        <v>667</v>
      </c>
    </row>
    <row r="76" spans="1:4" x14ac:dyDescent="0.3">
      <c r="A76" s="21" t="s">
        <v>668</v>
      </c>
      <c r="B76" s="81">
        <f>$B$65*2*$B$68/12</f>
        <v>30</v>
      </c>
      <c r="C76" s="2" t="s">
        <v>295</v>
      </c>
      <c r="D76" s="2"/>
    </row>
    <row r="77" spans="1:4" x14ac:dyDescent="0.3">
      <c r="A77" s="21" t="s">
        <v>669</v>
      </c>
      <c r="B77" s="81">
        <f>$B$65*$B$72*$B$68/12</f>
        <v>60</v>
      </c>
      <c r="C77" s="2" t="s">
        <v>295</v>
      </c>
      <c r="D77" s="2" t="s">
        <v>670</v>
      </c>
    </row>
    <row r="78" spans="1:4" x14ac:dyDescent="0.3">
      <c r="A78" s="21" t="s">
        <v>671</v>
      </c>
      <c r="B78" s="79">
        <f>$B$65*$B$72*$B$71</f>
        <v>52</v>
      </c>
      <c r="C78" s="2" t="s">
        <v>140</v>
      </c>
      <c r="D78" s="2"/>
    </row>
    <row r="79" spans="1:4" x14ac:dyDescent="0.3">
      <c r="A79" s="21" t="s">
        <v>672</v>
      </c>
      <c r="B79" s="79">
        <f>$B$65*$B$44</f>
        <v>8</v>
      </c>
      <c r="C79" s="2" t="s">
        <v>140</v>
      </c>
      <c r="D79" s="2"/>
    </row>
    <row r="80" spans="1:4" x14ac:dyDescent="0.3">
      <c r="A80" s="21" t="s">
        <v>673</v>
      </c>
      <c r="B80" s="80">
        <f>$B$70*$B$40/12/27</f>
        <v>3.6111111111111112</v>
      </c>
      <c r="C80" s="2" t="s">
        <v>379</v>
      </c>
      <c r="D80" s="2" t="s">
        <v>674</v>
      </c>
    </row>
    <row r="81" spans="1:11" x14ac:dyDescent="0.3">
      <c r="A81" s="21" t="s">
        <v>675</v>
      </c>
      <c r="B81" s="80">
        <f>$B$70*($B$74+$B$67)/12/27</f>
        <v>2.9861111111111112</v>
      </c>
      <c r="C81" s="2" t="s">
        <v>379</v>
      </c>
      <c r="D81" s="2" t="s">
        <v>676</v>
      </c>
    </row>
    <row r="82" spans="1:11" x14ac:dyDescent="0.3">
      <c r="A82" s="21" t="s">
        <v>677</v>
      </c>
      <c r="B82" s="80">
        <f>$B$80+$B$81</f>
        <v>6.5972222222222223</v>
      </c>
      <c r="C82" s="2" t="s">
        <v>379</v>
      </c>
      <c r="D82" s="2"/>
    </row>
    <row r="83" spans="1:11" x14ac:dyDescent="0.3">
      <c r="A83" s="21" t="s">
        <v>678</v>
      </c>
      <c r="B83" s="83">
        <f>($B$40/12*$B$42+$B$43)*$B$68*$B$69/144</f>
        <v>4132.5</v>
      </c>
      <c r="C83" s="2" t="s">
        <v>224</v>
      </c>
      <c r="D83" s="2" t="s">
        <v>679</v>
      </c>
    </row>
    <row r="84" spans="1:11" x14ac:dyDescent="0.3">
      <c r="A84" s="21" t="s">
        <v>680</v>
      </c>
      <c r="B84" s="80">
        <f>$B$10*2*(($B$16-2*$B$17)/12)*($B$60/12/2)*($B$17/12)/27</f>
        <v>0</v>
      </c>
      <c r="C84" s="2" t="s">
        <v>379</v>
      </c>
      <c r="D84" s="2" t="s">
        <v>681</v>
      </c>
    </row>
    <row r="85" spans="1:11" x14ac:dyDescent="0.3">
      <c r="A85" s="21" t="s">
        <v>682</v>
      </c>
      <c r="B85" s="83">
        <f>$B$82*27*$B$42+$B$43*$B$70</f>
        <v>6954.375</v>
      </c>
      <c r="C85" s="2" t="s">
        <v>224</v>
      </c>
      <c r="D85" s="2" t="s">
        <v>683</v>
      </c>
    </row>
    <row r="87" spans="1:11" x14ac:dyDescent="0.3">
      <c r="A87" s="4" t="s">
        <v>684</v>
      </c>
      <c r="B87" s="5"/>
      <c r="C87" s="5"/>
      <c r="D87" s="5"/>
      <c r="E87" s="5"/>
      <c r="F87" s="5"/>
      <c r="G87" s="5"/>
      <c r="H87" s="5"/>
      <c r="I87" s="5"/>
      <c r="J87" s="5"/>
      <c r="K87" s="5"/>
    </row>
    <row r="88" spans="1:11" x14ac:dyDescent="0.3">
      <c r="A88" s="11" t="s">
        <v>407</v>
      </c>
      <c r="B88" s="11" t="s">
        <v>408</v>
      </c>
      <c r="C88" s="11" t="s">
        <v>409</v>
      </c>
      <c r="D88" s="11" t="s">
        <v>410</v>
      </c>
      <c r="E88" s="11" t="s">
        <v>411</v>
      </c>
      <c r="F88" s="11" t="s">
        <v>412</v>
      </c>
      <c r="G88" s="11" t="s">
        <v>413</v>
      </c>
      <c r="H88" s="11" t="s">
        <v>414</v>
      </c>
      <c r="I88" s="11" t="s">
        <v>415</v>
      </c>
      <c r="J88" s="11" t="s">
        <v>416</v>
      </c>
      <c r="K88" s="11" t="s">
        <v>417</v>
      </c>
    </row>
    <row r="89" spans="1:11" x14ac:dyDescent="0.3">
      <c r="A89" s="84" t="str">
        <f>"Roof studs "&amp;$B$34</f>
        <v>Roof studs 600S162-54</v>
      </c>
      <c r="B89" s="85">
        <f>$B$75</f>
        <v>156</v>
      </c>
      <c r="C89" s="86" t="s">
        <v>295</v>
      </c>
      <c r="D89" s="84" t="s">
        <v>420</v>
      </c>
      <c r="E89" s="71" t="s">
        <v>421</v>
      </c>
      <c r="F89" s="86" t="str">
        <f>$B$35&amp;" in web, "&amp;$B$36&amp;" in flange, "&amp;$B$37&amp;" mil; cut to the strip length"</f>
        <v>6 in web, 1.625 in flange, 54 mil; cut to the strip length</v>
      </c>
      <c r="G89" s="89">
        <f>$B$47</f>
        <v>2.42</v>
      </c>
      <c r="H89" s="13">
        <f t="shared" ref="H89:H107" si="0">IF(D89="Material",B89*G89,0)</f>
        <v>377.52</v>
      </c>
      <c r="I89" s="13">
        <f t="shared" ref="I89:I107" si="1">IF(D89="Labor",B89*G89,0)</f>
        <v>0</v>
      </c>
      <c r="J89" s="13">
        <f t="shared" ref="J89:J107" si="2">H89+I89</f>
        <v>377.52</v>
      </c>
      <c r="K89" s="86" t="s">
        <v>685</v>
      </c>
    </row>
    <row r="90" spans="1:11" x14ac:dyDescent="0.3">
      <c r="A90" s="84" t="s">
        <v>686</v>
      </c>
      <c r="B90" s="85">
        <f>$B$76*(1+$B$22)</f>
        <v>33</v>
      </c>
      <c r="C90" s="86" t="s">
        <v>295</v>
      </c>
      <c r="D90" s="84" t="s">
        <v>420</v>
      </c>
      <c r="E90" s="71" t="s">
        <v>421</v>
      </c>
      <c r="F90" s="86" t="str">
        <f>$B$35&amp;" in web; 2 × strip width per strip"</f>
        <v>6 in web; 2 × strip width per strip</v>
      </c>
      <c r="G90" s="89">
        <f>$B$47</f>
        <v>2.42</v>
      </c>
      <c r="H90" s="13">
        <f t="shared" si="0"/>
        <v>79.86</v>
      </c>
      <c r="I90" s="13">
        <f t="shared" si="1"/>
        <v>0</v>
      </c>
      <c r="J90" s="13">
        <f t="shared" si="2"/>
        <v>79.86</v>
      </c>
      <c r="K90" s="86" t="s">
        <v>687</v>
      </c>
    </row>
    <row r="91" spans="1:11" x14ac:dyDescent="0.3">
      <c r="A91" s="84" t="s">
        <v>688</v>
      </c>
      <c r="B91" s="85">
        <f>$B$77*(1+$B$22)</f>
        <v>66</v>
      </c>
      <c r="C91" s="86" t="s">
        <v>295</v>
      </c>
      <c r="D91" s="84" t="s">
        <v>420</v>
      </c>
      <c r="E91" s="71" t="s">
        <v>421</v>
      </c>
      <c r="F91" s="86" t="s">
        <v>689</v>
      </c>
      <c r="G91" s="75">
        <v>0.73</v>
      </c>
      <c r="H91" s="13">
        <f t="shared" si="0"/>
        <v>48.18</v>
      </c>
      <c r="I91" s="13">
        <f t="shared" si="1"/>
        <v>0</v>
      </c>
      <c r="J91" s="13">
        <f t="shared" si="2"/>
        <v>48.18</v>
      </c>
      <c r="K91" s="86" t="s">
        <v>690</v>
      </c>
    </row>
    <row r="92" spans="1:11" x14ac:dyDescent="0.3">
      <c r="A92" s="84" t="s">
        <v>691</v>
      </c>
      <c r="B92" s="87">
        <f>$B$78*$B$25</f>
        <v>104</v>
      </c>
      <c r="C92" s="86" t="s">
        <v>140</v>
      </c>
      <c r="D92" s="84" t="s">
        <v>420</v>
      </c>
      <c r="E92" s="71" t="s">
        <v>421</v>
      </c>
      <c r="F92" s="86" t="s">
        <v>444</v>
      </c>
      <c r="G92" s="75">
        <v>0.08</v>
      </c>
      <c r="H92" s="13">
        <f t="shared" si="0"/>
        <v>8.32</v>
      </c>
      <c r="I92" s="13">
        <f t="shared" si="1"/>
        <v>0</v>
      </c>
      <c r="J92" s="13">
        <f t="shared" si="2"/>
        <v>8.32</v>
      </c>
      <c r="K92" s="86" t="s">
        <v>442</v>
      </c>
    </row>
    <row r="93" spans="1:11" x14ac:dyDescent="0.3">
      <c r="A93" s="84" t="s">
        <v>692</v>
      </c>
      <c r="B93" s="87">
        <f>$B$78</f>
        <v>52</v>
      </c>
      <c r="C93" s="86" t="s">
        <v>140</v>
      </c>
      <c r="D93" s="84" t="s">
        <v>420</v>
      </c>
      <c r="E93" s="71" t="s">
        <v>421</v>
      </c>
      <c r="F93" s="86" t="s">
        <v>693</v>
      </c>
      <c r="G93" s="75">
        <v>0.6</v>
      </c>
      <c r="H93" s="13">
        <f t="shared" si="0"/>
        <v>31.2</v>
      </c>
      <c r="I93" s="13">
        <f t="shared" si="1"/>
        <v>0</v>
      </c>
      <c r="J93" s="13">
        <f t="shared" si="2"/>
        <v>31.2</v>
      </c>
      <c r="K93" s="86" t="s">
        <v>694</v>
      </c>
    </row>
    <row r="94" spans="1:11" x14ac:dyDescent="0.3">
      <c r="A94" s="84" t="s">
        <v>695</v>
      </c>
      <c r="B94" s="87">
        <f>$B$79</f>
        <v>8</v>
      </c>
      <c r="C94" s="86" t="s">
        <v>140</v>
      </c>
      <c r="D94" s="84" t="s">
        <v>420</v>
      </c>
      <c r="E94" s="71" t="s">
        <v>421</v>
      </c>
      <c r="F94" s="86" t="s">
        <v>696</v>
      </c>
      <c r="G94" s="89">
        <f>$B$48</f>
        <v>28</v>
      </c>
      <c r="H94" s="13">
        <f t="shared" si="0"/>
        <v>224</v>
      </c>
      <c r="I94" s="13">
        <f t="shared" si="1"/>
        <v>0</v>
      </c>
      <c r="J94" s="13">
        <f t="shared" si="2"/>
        <v>224</v>
      </c>
      <c r="K94" s="86" t="s">
        <v>511</v>
      </c>
    </row>
    <row r="95" spans="1:11" x14ac:dyDescent="0.3">
      <c r="A95" s="84" t="s">
        <v>697</v>
      </c>
      <c r="B95" s="85">
        <f>$B$70*(1+$B$23)</f>
        <v>198.00000000000003</v>
      </c>
      <c r="C95" s="86" t="s">
        <v>292</v>
      </c>
      <c r="D95" s="84" t="s">
        <v>420</v>
      </c>
      <c r="E95" s="71" t="s">
        <v>421</v>
      </c>
      <c r="F95" s="86" t="s">
        <v>698</v>
      </c>
      <c r="G95" s="75">
        <v>0.95</v>
      </c>
      <c r="H95" s="13">
        <f t="shared" si="0"/>
        <v>188.10000000000002</v>
      </c>
      <c r="I95" s="13">
        <f t="shared" si="1"/>
        <v>0</v>
      </c>
      <c r="J95" s="13">
        <f t="shared" si="2"/>
        <v>188.10000000000002</v>
      </c>
      <c r="K95" s="86" t="s">
        <v>699</v>
      </c>
    </row>
    <row r="96" spans="1:11" x14ac:dyDescent="0.3">
      <c r="A96" s="84" t="s">
        <v>700</v>
      </c>
      <c r="B96" s="85">
        <f>$B$80*(1+$B$21)</f>
        <v>3.9722222222222228</v>
      </c>
      <c r="C96" s="86" t="s">
        <v>379</v>
      </c>
      <c r="D96" s="84" t="s">
        <v>420</v>
      </c>
      <c r="E96" s="71" t="s">
        <v>421</v>
      </c>
      <c r="F96" s="86" t="s">
        <v>701</v>
      </c>
      <c r="G96" s="89">
        <f>$B$26+$B$27</f>
        <v>220</v>
      </c>
      <c r="H96" s="13">
        <f t="shared" si="0"/>
        <v>873.88888888888903</v>
      </c>
      <c r="I96" s="13">
        <f t="shared" si="1"/>
        <v>0</v>
      </c>
      <c r="J96" s="13">
        <f t="shared" si="2"/>
        <v>873.88888888888903</v>
      </c>
      <c r="K96" s="86" t="s">
        <v>702</v>
      </c>
    </row>
    <row r="97" spans="1:11" x14ac:dyDescent="0.3">
      <c r="A97" s="84" t="s">
        <v>703</v>
      </c>
      <c r="B97" s="85">
        <f>$B$81*(1+$B$21)</f>
        <v>3.2847222222222223</v>
      </c>
      <c r="C97" s="86" t="s">
        <v>379</v>
      </c>
      <c r="D97" s="84" t="s">
        <v>420</v>
      </c>
      <c r="E97" s="71" t="s">
        <v>434</v>
      </c>
      <c r="F97" s="86" t="s">
        <v>704</v>
      </c>
      <c r="G97" s="89">
        <f>$B$26+$B$27</f>
        <v>220</v>
      </c>
      <c r="H97" s="13">
        <f t="shared" si="0"/>
        <v>722.63888888888891</v>
      </c>
      <c r="I97" s="13">
        <f t="shared" si="1"/>
        <v>0</v>
      </c>
      <c r="J97" s="13">
        <f t="shared" si="2"/>
        <v>722.63888888888891</v>
      </c>
      <c r="K97" s="86" t="s">
        <v>471</v>
      </c>
    </row>
    <row r="98" spans="1:11" x14ac:dyDescent="0.3">
      <c r="A98" s="84" t="s">
        <v>705</v>
      </c>
      <c r="B98" s="85">
        <f>$B$84*(1+$B$21)</f>
        <v>0</v>
      </c>
      <c r="C98" s="86" t="s">
        <v>379</v>
      </c>
      <c r="D98" s="84" t="s">
        <v>420</v>
      </c>
      <c r="E98" s="71" t="s">
        <v>434</v>
      </c>
      <c r="F98" s="86" t="s">
        <v>706</v>
      </c>
      <c r="G98" s="89">
        <f>$B$26+$B$27</f>
        <v>220</v>
      </c>
      <c r="H98" s="13">
        <f t="shared" si="0"/>
        <v>0</v>
      </c>
      <c r="I98" s="13">
        <f t="shared" si="1"/>
        <v>0</v>
      </c>
      <c r="J98" s="13">
        <f t="shared" si="2"/>
        <v>0</v>
      </c>
      <c r="K98" s="86" t="s">
        <v>707</v>
      </c>
    </row>
    <row r="99" spans="1:11" x14ac:dyDescent="0.3">
      <c r="A99" s="84" t="s">
        <v>708</v>
      </c>
      <c r="B99" s="85">
        <f>$B$70*1.1</f>
        <v>198.00000000000003</v>
      </c>
      <c r="C99" s="86" t="s">
        <v>292</v>
      </c>
      <c r="D99" s="84" t="s">
        <v>420</v>
      </c>
      <c r="E99" s="71" t="s">
        <v>421</v>
      </c>
      <c r="F99" s="86" t="s">
        <v>709</v>
      </c>
      <c r="G99" s="75">
        <v>0.12</v>
      </c>
      <c r="H99" s="13">
        <f t="shared" si="0"/>
        <v>23.76</v>
      </c>
      <c r="I99" s="13">
        <f t="shared" si="1"/>
        <v>0</v>
      </c>
      <c r="J99" s="13">
        <f t="shared" si="2"/>
        <v>23.76</v>
      </c>
      <c r="K99" s="86" t="s">
        <v>710</v>
      </c>
    </row>
    <row r="100" spans="1:11" x14ac:dyDescent="0.3">
      <c r="A100" s="84" t="s">
        <v>711</v>
      </c>
      <c r="B100" s="85">
        <f>$B$65*2*($B$68+$B$69)/12</f>
        <v>54</v>
      </c>
      <c r="C100" s="86" t="s">
        <v>295</v>
      </c>
      <c r="D100" s="84" t="s">
        <v>420</v>
      </c>
      <c r="E100" s="71" t="s">
        <v>421</v>
      </c>
      <c r="F100" s="86" t="s">
        <v>712</v>
      </c>
      <c r="G100" s="75">
        <v>1.8</v>
      </c>
      <c r="H100" s="13">
        <f t="shared" si="0"/>
        <v>97.2</v>
      </c>
      <c r="I100" s="13">
        <f t="shared" si="1"/>
        <v>0</v>
      </c>
      <c r="J100" s="13">
        <f t="shared" si="2"/>
        <v>97.2</v>
      </c>
      <c r="K100" s="86" t="s">
        <v>713</v>
      </c>
    </row>
    <row r="101" spans="1:11" x14ac:dyDescent="0.3">
      <c r="A101" s="84" t="s">
        <v>618</v>
      </c>
      <c r="B101" s="87">
        <v>1</v>
      </c>
      <c r="C101" s="86" t="s">
        <v>714</v>
      </c>
      <c r="D101" s="84" t="s">
        <v>420</v>
      </c>
      <c r="E101" s="71" t="s">
        <v>434</v>
      </c>
      <c r="F101" s="86" t="s">
        <v>715</v>
      </c>
      <c r="G101" s="89">
        <f>$B$49</f>
        <v>1500</v>
      </c>
      <c r="H101" s="13">
        <f t="shared" si="0"/>
        <v>1500</v>
      </c>
      <c r="I101" s="13">
        <f t="shared" si="1"/>
        <v>0</v>
      </c>
      <c r="J101" s="13">
        <f t="shared" si="2"/>
        <v>1500</v>
      </c>
      <c r="K101" s="86" t="s">
        <v>716</v>
      </c>
    </row>
    <row r="102" spans="1:11" x14ac:dyDescent="0.3">
      <c r="A102" s="84" t="s">
        <v>621</v>
      </c>
      <c r="B102" s="85">
        <f>$B$70</f>
        <v>180</v>
      </c>
      <c r="C102" s="86" t="s">
        <v>292</v>
      </c>
      <c r="D102" s="84" t="s">
        <v>420</v>
      </c>
      <c r="E102" s="71" t="s">
        <v>434</v>
      </c>
      <c r="F102" s="86" t="s">
        <v>717</v>
      </c>
      <c r="G102" s="89">
        <f>$B$50</f>
        <v>8</v>
      </c>
      <c r="H102" s="13">
        <f t="shared" si="0"/>
        <v>1440</v>
      </c>
      <c r="I102" s="13">
        <f t="shared" si="1"/>
        <v>0</v>
      </c>
      <c r="J102" s="13">
        <f t="shared" si="2"/>
        <v>1440</v>
      </c>
      <c r="K102" s="86" t="s">
        <v>718</v>
      </c>
    </row>
    <row r="103" spans="1:11" x14ac:dyDescent="0.3">
      <c r="A103" s="84" t="s">
        <v>719</v>
      </c>
      <c r="B103" s="85">
        <f>$B$70*$B$53</f>
        <v>21.599999999999998</v>
      </c>
      <c r="C103" s="86" t="s">
        <v>243</v>
      </c>
      <c r="D103" s="84" t="s">
        <v>31</v>
      </c>
      <c r="E103" s="71" t="s">
        <v>421</v>
      </c>
      <c r="F103" s="86" t="s">
        <v>720</v>
      </c>
      <c r="G103" s="89">
        <f>$B$24</f>
        <v>35</v>
      </c>
      <c r="H103" s="13">
        <f t="shared" si="0"/>
        <v>0</v>
      </c>
      <c r="I103" s="13">
        <f t="shared" si="1"/>
        <v>755.99999999999989</v>
      </c>
      <c r="J103" s="13">
        <f t="shared" si="2"/>
        <v>755.99999999999989</v>
      </c>
      <c r="K103" s="86" t="s">
        <v>517</v>
      </c>
    </row>
    <row r="104" spans="1:11" x14ac:dyDescent="0.3">
      <c r="A104" s="84" t="s">
        <v>721</v>
      </c>
      <c r="B104" s="85">
        <f>$B$70*$B$54</f>
        <v>5.3999999999999995</v>
      </c>
      <c r="C104" s="86" t="s">
        <v>243</v>
      </c>
      <c r="D104" s="84" t="s">
        <v>31</v>
      </c>
      <c r="E104" s="71" t="s">
        <v>421</v>
      </c>
      <c r="F104" s="86" t="s">
        <v>720</v>
      </c>
      <c r="G104" s="89">
        <f>$B$24</f>
        <v>35</v>
      </c>
      <c r="H104" s="13">
        <f t="shared" si="0"/>
        <v>0</v>
      </c>
      <c r="I104" s="13">
        <f t="shared" si="1"/>
        <v>188.99999999999997</v>
      </c>
      <c r="J104" s="13">
        <f t="shared" si="2"/>
        <v>188.99999999999997</v>
      </c>
      <c r="K104" s="86" t="s">
        <v>517</v>
      </c>
    </row>
    <row r="105" spans="1:11" x14ac:dyDescent="0.3">
      <c r="A105" s="84" t="s">
        <v>722</v>
      </c>
      <c r="B105" s="85">
        <f>$B$80*(1+$B$21)*$B$55</f>
        <v>5.9583333333333339</v>
      </c>
      <c r="C105" s="86" t="s">
        <v>243</v>
      </c>
      <c r="D105" s="84" t="s">
        <v>31</v>
      </c>
      <c r="E105" s="71" t="s">
        <v>421</v>
      </c>
      <c r="F105" s="86" t="s">
        <v>521</v>
      </c>
      <c r="G105" s="89">
        <f>$B$24</f>
        <v>35</v>
      </c>
      <c r="H105" s="13">
        <f t="shared" si="0"/>
        <v>0</v>
      </c>
      <c r="I105" s="13">
        <f t="shared" si="1"/>
        <v>208.54166666666669</v>
      </c>
      <c r="J105" s="13">
        <f t="shared" si="2"/>
        <v>208.54166666666669</v>
      </c>
      <c r="K105" s="86" t="s">
        <v>517</v>
      </c>
    </row>
    <row r="106" spans="1:11" x14ac:dyDescent="0.3">
      <c r="A106" s="84" t="s">
        <v>723</v>
      </c>
      <c r="B106" s="85">
        <f>$B$81*(1+$B$21)*$B$56</f>
        <v>6.5694444444444446</v>
      </c>
      <c r="C106" s="86" t="s">
        <v>243</v>
      </c>
      <c r="D106" s="84" t="s">
        <v>31</v>
      </c>
      <c r="E106" s="71" t="s">
        <v>434</v>
      </c>
      <c r="F106" s="86" t="s">
        <v>521</v>
      </c>
      <c r="G106" s="89">
        <f>$B$24</f>
        <v>35</v>
      </c>
      <c r="H106" s="13">
        <f t="shared" si="0"/>
        <v>0</v>
      </c>
      <c r="I106" s="13">
        <f t="shared" si="1"/>
        <v>229.93055555555557</v>
      </c>
      <c r="J106" s="13">
        <f t="shared" si="2"/>
        <v>229.93055555555557</v>
      </c>
      <c r="K106" s="86" t="s">
        <v>528</v>
      </c>
    </row>
    <row r="107" spans="1:11" x14ac:dyDescent="0.3">
      <c r="A107" s="84" t="s">
        <v>724</v>
      </c>
      <c r="B107" s="85">
        <f>$B$57</f>
        <v>32</v>
      </c>
      <c r="C107" s="86" t="s">
        <v>243</v>
      </c>
      <c r="D107" s="84" t="s">
        <v>31</v>
      </c>
      <c r="E107" s="71" t="s">
        <v>434</v>
      </c>
      <c r="F107" s="86" t="s">
        <v>725</v>
      </c>
      <c r="G107" s="89">
        <f>$B$24</f>
        <v>35</v>
      </c>
      <c r="H107" s="13">
        <f t="shared" si="0"/>
        <v>0</v>
      </c>
      <c r="I107" s="13">
        <f t="shared" si="1"/>
        <v>1120</v>
      </c>
      <c r="J107" s="13">
        <f t="shared" si="2"/>
        <v>1120</v>
      </c>
      <c r="K107" s="86" t="s">
        <v>517</v>
      </c>
    </row>
    <row r="108" spans="1:11" x14ac:dyDescent="0.3">
      <c r="A108" s="16" t="s">
        <v>726</v>
      </c>
      <c r="B108" s="20"/>
      <c r="C108" s="20"/>
      <c r="D108" s="20"/>
      <c r="E108" s="20"/>
      <c r="F108" s="20"/>
      <c r="G108" s="20"/>
      <c r="H108" s="88">
        <f>SUM(H89:H107)</f>
        <v>5614.6677777777777</v>
      </c>
      <c r="I108" s="88">
        <f>SUM(I89:I107)</f>
        <v>2503.4722222222222</v>
      </c>
      <c r="J108" s="88">
        <f>SUM(J89:J107)</f>
        <v>8118.14</v>
      </c>
      <c r="K108" s="20"/>
    </row>
    <row r="110" spans="1:11" x14ac:dyDescent="0.3">
      <c r="A110" s="90" t="s">
        <v>727</v>
      </c>
      <c r="B110" s="91"/>
      <c r="C110" s="91"/>
      <c r="D110" s="91"/>
      <c r="E110" s="91"/>
      <c r="F110" s="91"/>
      <c r="G110" s="91"/>
      <c r="H110" s="92">
        <f>$H$108</f>
        <v>5614.6677777777777</v>
      </c>
      <c r="I110" s="92">
        <f>$I$108</f>
        <v>2503.4722222222222</v>
      </c>
      <c r="J110" s="92">
        <f>H110+I110</f>
        <v>8118.1399999999994</v>
      </c>
      <c r="K110" s="91"/>
    </row>
    <row r="112" spans="1:11" x14ac:dyDescent="0.3">
      <c r="A112" s="6" t="s">
        <v>728</v>
      </c>
    </row>
    <row r="113" spans="1:11" x14ac:dyDescent="0.3">
      <c r="A113" s="16" t="s">
        <v>542</v>
      </c>
      <c r="B113" s="20"/>
      <c r="C113" s="20"/>
      <c r="D113" s="20"/>
      <c r="E113" s="20"/>
      <c r="F113" s="20"/>
      <c r="G113" s="20"/>
      <c r="H113" s="88">
        <f>SUMIFS(H89:H107,$D$89:$D$107,"Material",$E$89:$E$107,"Plant")</f>
        <v>1952.028888888889</v>
      </c>
      <c r="I113" s="88">
        <f>SUMIFS(I89:I107,$D$89:$D$107,"Labor",$E$89:$E$107,"Plant")</f>
        <v>1153.5416666666665</v>
      </c>
      <c r="J113" s="88">
        <f>H113+I113</f>
        <v>3105.5705555555555</v>
      </c>
      <c r="K113" s="93" t="s">
        <v>543</v>
      </c>
    </row>
    <row r="114" spans="1:11" x14ac:dyDescent="0.3">
      <c r="A114" s="6" t="s">
        <v>544</v>
      </c>
      <c r="B114" s="94">
        <f>SUMIFS(B89:B107,$D$89:$D$107,"Labor",$E$89:$E$107,"Plant")</f>
        <v>32.958333333333329</v>
      </c>
      <c r="C114" s="2" t="s">
        <v>243</v>
      </c>
      <c r="K114" s="2" t="s">
        <v>545</v>
      </c>
    </row>
    <row r="115" spans="1:11" x14ac:dyDescent="0.3">
      <c r="A115" s="16" t="s">
        <v>546</v>
      </c>
      <c r="B115" s="20"/>
      <c r="C115" s="20"/>
      <c r="D115" s="20"/>
      <c r="E115" s="20"/>
      <c r="F115" s="20"/>
      <c r="G115" s="20"/>
      <c r="H115" s="88">
        <f>SUMIFS(H89:H107,$D$89:$D$107,"Material",$E$89:$E$107,"Site")</f>
        <v>3662.6388888888887</v>
      </c>
      <c r="I115" s="88">
        <f>SUMIFS(I89:I107,$D$89:$D$107,"Labor",$E$89:$E$107,"Site")</f>
        <v>1349.9305555555557</v>
      </c>
      <c r="J115" s="88">
        <f>H115+I115</f>
        <v>5012.5694444444443</v>
      </c>
      <c r="K115" s="93" t="s">
        <v>547</v>
      </c>
    </row>
    <row r="116" spans="1:11" x14ac:dyDescent="0.3">
      <c r="A116" s="2" t="s">
        <v>548</v>
      </c>
      <c r="J116" s="95">
        <f>$J$113+$J$115-$J$110</f>
        <v>0</v>
      </c>
    </row>
    <row r="118" spans="1:11" x14ac:dyDescent="0.3">
      <c r="A118" s="21" t="s">
        <v>729</v>
      </c>
      <c r="J118" s="96">
        <f>Manufacturing!$C$32+$J$115*(1+Summary!$B$9)</f>
        <v>10229.261055555557</v>
      </c>
      <c r="K118" s="2" t="s">
        <v>730</v>
      </c>
    </row>
    <row r="119" spans="1:11" x14ac:dyDescent="0.3">
      <c r="A119" s="21" t="s">
        <v>731</v>
      </c>
      <c r="J119" s="22">
        <f>$J$118/$B$70</f>
        <v>56.829228086419761</v>
      </c>
    </row>
    <row r="120" spans="1:11" x14ac:dyDescent="0.3">
      <c r="A120" s="2" t="s">
        <v>732</v>
      </c>
    </row>
  </sheetData>
  <mergeCells count="1">
    <mergeCell ref="A2:J2"/>
  </mergeCells>
  <dataValidations count="1">
    <dataValidation type="list" allowBlank="1" sqref="E89:E107"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showGridLines="0" workbookViewId="0">
      <pane ySplit="4" topLeftCell="A5" activePane="bottomLeft" state="frozen"/>
      <selection pane="bottomLeft"/>
    </sheetView>
  </sheetViews>
  <sheetFormatPr defaultRowHeight="14.4" x14ac:dyDescent="0.3"/>
  <cols>
    <col min="1" max="1" width="54"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57" t="s">
        <v>733</v>
      </c>
    </row>
    <row r="2" spans="1:11" ht="70.05" customHeight="1" x14ac:dyDescent="0.3">
      <c r="A2" s="121" t="s">
        <v>734</v>
      </c>
      <c r="B2" s="122"/>
      <c r="C2" s="122"/>
      <c r="D2" s="122"/>
      <c r="E2" s="122"/>
      <c r="F2" s="122"/>
      <c r="G2" s="122"/>
      <c r="H2" s="122"/>
      <c r="I2" s="122"/>
      <c r="J2" s="122"/>
    </row>
    <row r="3" spans="1:11" x14ac:dyDescent="0.3">
      <c r="A3" s="3" t="s">
        <v>123</v>
      </c>
    </row>
    <row r="5" spans="1:11" x14ac:dyDescent="0.3">
      <c r="A5" s="4" t="s">
        <v>735</v>
      </c>
      <c r="B5" s="5"/>
      <c r="C5" s="5"/>
      <c r="D5" s="5"/>
      <c r="E5" s="5"/>
      <c r="F5" s="5"/>
      <c r="G5" s="5"/>
      <c r="H5" s="5"/>
      <c r="I5" s="5"/>
      <c r="J5" s="5"/>
      <c r="K5" s="5"/>
    </row>
    <row r="6" spans="1:11" x14ac:dyDescent="0.3">
      <c r="A6" s="21" t="s">
        <v>736</v>
      </c>
      <c r="B6" s="72">
        <f>Walls!$B$104</f>
        <v>168</v>
      </c>
      <c r="C6" s="2" t="s">
        <v>145</v>
      </c>
      <c r="D6" s="2" t="s">
        <v>737</v>
      </c>
    </row>
    <row r="7" spans="1:11" x14ac:dyDescent="0.3">
      <c r="A7" s="21" t="s">
        <v>738</v>
      </c>
      <c r="B7" s="72">
        <f>Walls!$B$105</f>
        <v>144</v>
      </c>
      <c r="C7" s="2" t="s">
        <v>145</v>
      </c>
      <c r="D7" s="2" t="s">
        <v>737</v>
      </c>
    </row>
    <row r="8" spans="1:11" x14ac:dyDescent="0.3">
      <c r="A8" s="21" t="s">
        <v>739</v>
      </c>
      <c r="B8" s="81">
        <f>$B$6*$B$7/144</f>
        <v>168</v>
      </c>
      <c r="C8" s="2" t="s">
        <v>292</v>
      </c>
      <c r="D8" s="2"/>
    </row>
    <row r="9" spans="1:11" x14ac:dyDescent="0.3">
      <c r="A9" s="21" t="s">
        <v>740</v>
      </c>
      <c r="B9" s="81">
        <f>2*($B$6+$B$7)/12</f>
        <v>52</v>
      </c>
      <c r="C9" s="2" t="s">
        <v>295</v>
      </c>
      <c r="D9" s="2"/>
    </row>
    <row r="10" spans="1:11" x14ac:dyDescent="0.3">
      <c r="A10" s="21" t="s">
        <v>239</v>
      </c>
      <c r="B10" s="30">
        <f>Walls!$B$74</f>
        <v>35</v>
      </c>
      <c r="C10" s="2" t="s">
        <v>240</v>
      </c>
      <c r="D10" s="2" t="s">
        <v>570</v>
      </c>
    </row>
    <row r="11" spans="1:11" x14ac:dyDescent="0.3">
      <c r="A11" s="21" t="s">
        <v>573</v>
      </c>
      <c r="B11" s="76">
        <f>Walls!$B$67</f>
        <v>0.1</v>
      </c>
      <c r="C11" s="2" t="s">
        <v>227</v>
      </c>
      <c r="D11" s="2" t="s">
        <v>570</v>
      </c>
    </row>
    <row r="12" spans="1:11" x14ac:dyDescent="0.3">
      <c r="A12" s="21" t="s">
        <v>229</v>
      </c>
      <c r="B12" s="76">
        <f>Walls!$B$68</f>
        <v>0.1</v>
      </c>
      <c r="C12" s="2" t="s">
        <v>227</v>
      </c>
      <c r="D12" s="2" t="s">
        <v>570</v>
      </c>
    </row>
    <row r="13" spans="1:11" x14ac:dyDescent="0.3">
      <c r="A13" s="21" t="s">
        <v>741</v>
      </c>
      <c r="B13" s="72">
        <f>Walls!$B$61</f>
        <v>35</v>
      </c>
      <c r="C13" s="2" t="s">
        <v>211</v>
      </c>
      <c r="D13" s="2" t="s">
        <v>570</v>
      </c>
    </row>
    <row r="14" spans="1:11" x14ac:dyDescent="0.3">
      <c r="A14" s="21" t="s">
        <v>742</v>
      </c>
      <c r="B14" s="30">
        <f>Walls!$B$64+Walls!$B$65</f>
        <v>220</v>
      </c>
      <c r="C14" s="2" t="s">
        <v>219</v>
      </c>
      <c r="D14" s="2" t="s">
        <v>743</v>
      </c>
    </row>
    <row r="15" spans="1:11" x14ac:dyDescent="0.3">
      <c r="A15" s="21" t="s">
        <v>173</v>
      </c>
      <c r="B15" s="73">
        <f>Walls!$B$33</f>
        <v>2</v>
      </c>
      <c r="C15" s="2" t="s">
        <v>140</v>
      </c>
      <c r="D15" s="2" t="s">
        <v>744</v>
      </c>
    </row>
    <row r="16" spans="1:11" x14ac:dyDescent="0.3">
      <c r="A16" s="21" t="s">
        <v>745</v>
      </c>
      <c r="B16" s="100">
        <f>Roof!$B$53</f>
        <v>0.12</v>
      </c>
      <c r="C16" s="2" t="s">
        <v>626</v>
      </c>
      <c r="D16" s="2" t="s">
        <v>746</v>
      </c>
    </row>
    <row r="17" spans="1:11" x14ac:dyDescent="0.3">
      <c r="A17" s="21" t="s">
        <v>747</v>
      </c>
      <c r="B17" s="100">
        <f>Roof!$B$54</f>
        <v>0.03</v>
      </c>
      <c r="C17" s="2" t="s">
        <v>626</v>
      </c>
      <c r="D17" s="2" t="s">
        <v>748</v>
      </c>
    </row>
    <row r="18" spans="1:11" x14ac:dyDescent="0.3">
      <c r="A18" s="21" t="s">
        <v>749</v>
      </c>
      <c r="B18" s="101">
        <f>Roof!$B$55</f>
        <v>1.5</v>
      </c>
      <c r="C18" s="2" t="s">
        <v>252</v>
      </c>
      <c r="D18" s="2" t="s">
        <v>750</v>
      </c>
    </row>
    <row r="19" spans="1:11" x14ac:dyDescent="0.3">
      <c r="A19" s="21" t="s">
        <v>23</v>
      </c>
      <c r="B19" s="73">
        <f>Summary!$B$11</f>
        <v>1</v>
      </c>
      <c r="C19" s="2" t="s">
        <v>192</v>
      </c>
      <c r="D19" s="2" t="s">
        <v>751</v>
      </c>
    </row>
    <row r="20" spans="1:11" x14ac:dyDescent="0.3">
      <c r="A20" s="21" t="s">
        <v>752</v>
      </c>
      <c r="B20" s="73">
        <f>Skid!$B$50</f>
        <v>5</v>
      </c>
      <c r="C20" s="2" t="s">
        <v>140</v>
      </c>
      <c r="D20" s="2" t="s">
        <v>753</v>
      </c>
    </row>
    <row r="22" spans="1:11" x14ac:dyDescent="0.3">
      <c r="A22" s="4" t="s">
        <v>754</v>
      </c>
      <c r="B22" s="5"/>
      <c r="C22" s="5"/>
      <c r="D22" s="5"/>
      <c r="E22" s="5"/>
      <c r="F22" s="5"/>
      <c r="G22" s="5"/>
      <c r="H22" s="5"/>
      <c r="I22" s="5"/>
      <c r="J22" s="5"/>
      <c r="K22" s="5"/>
    </row>
    <row r="23" spans="1:11" x14ac:dyDescent="0.3">
      <c r="A23" s="21" t="s">
        <v>755</v>
      </c>
      <c r="B23" s="71">
        <v>2</v>
      </c>
      <c r="C23" s="2" t="s">
        <v>145</v>
      </c>
      <c r="D23" s="2" t="s">
        <v>756</v>
      </c>
    </row>
    <row r="24" spans="1:11" x14ac:dyDescent="0.3">
      <c r="A24" s="21" t="s">
        <v>156</v>
      </c>
      <c r="B24" s="71">
        <v>1.5</v>
      </c>
      <c r="C24" s="2" t="s">
        <v>145</v>
      </c>
      <c r="D24" s="2" t="s">
        <v>757</v>
      </c>
    </row>
    <row r="25" spans="1:11" x14ac:dyDescent="0.3">
      <c r="A25" s="21" t="s">
        <v>158</v>
      </c>
      <c r="B25" s="71">
        <v>6</v>
      </c>
      <c r="C25" s="2" t="s">
        <v>145</v>
      </c>
      <c r="D25" s="2" t="s">
        <v>758</v>
      </c>
    </row>
    <row r="26" spans="1:11" x14ac:dyDescent="0.3">
      <c r="A26" s="21" t="s">
        <v>759</v>
      </c>
      <c r="B26" s="71">
        <v>6.5</v>
      </c>
      <c r="C26" s="2" t="s">
        <v>145</v>
      </c>
      <c r="D26" s="2" t="s">
        <v>760</v>
      </c>
    </row>
    <row r="27" spans="1:11" x14ac:dyDescent="0.3">
      <c r="A27" s="21" t="s">
        <v>163</v>
      </c>
      <c r="B27" s="71">
        <v>16</v>
      </c>
      <c r="C27" s="2" t="s">
        <v>164</v>
      </c>
      <c r="D27" s="2" t="s">
        <v>761</v>
      </c>
    </row>
    <row r="28" spans="1:11" x14ac:dyDescent="0.3">
      <c r="A28" s="21" t="s">
        <v>762</v>
      </c>
      <c r="B28" s="71">
        <v>1.625</v>
      </c>
      <c r="C28" s="2" t="s">
        <v>145</v>
      </c>
      <c r="D28" s="2" t="s">
        <v>763</v>
      </c>
    </row>
    <row r="29" spans="1:11" x14ac:dyDescent="0.3">
      <c r="A29" s="21" t="s">
        <v>764</v>
      </c>
      <c r="B29" s="71">
        <v>48</v>
      </c>
      <c r="C29" s="2" t="s">
        <v>145</v>
      </c>
      <c r="D29" s="2" t="s">
        <v>765</v>
      </c>
    </row>
    <row r="30" spans="1:11" x14ac:dyDescent="0.3">
      <c r="A30" s="21" t="s">
        <v>615</v>
      </c>
      <c r="B30" s="71">
        <v>8</v>
      </c>
      <c r="C30" s="2" t="s">
        <v>140</v>
      </c>
      <c r="D30" s="2" t="s">
        <v>766</v>
      </c>
    </row>
    <row r="31" spans="1:11" x14ac:dyDescent="0.3">
      <c r="A31" s="21" t="s">
        <v>606</v>
      </c>
      <c r="B31" s="71">
        <v>4</v>
      </c>
      <c r="C31" s="2" t="s">
        <v>607</v>
      </c>
      <c r="D31" s="2" t="s">
        <v>767</v>
      </c>
    </row>
    <row r="32" spans="1:11" x14ac:dyDescent="0.3">
      <c r="A32" s="21" t="s">
        <v>768</v>
      </c>
      <c r="B32" s="75">
        <v>2.42</v>
      </c>
      <c r="C32" s="2" t="s">
        <v>613</v>
      </c>
      <c r="D32" s="2" t="s">
        <v>769</v>
      </c>
    </row>
    <row r="33" spans="1:4" x14ac:dyDescent="0.3">
      <c r="A33" s="21" t="s">
        <v>770</v>
      </c>
      <c r="B33" s="75">
        <v>2.42</v>
      </c>
      <c r="C33" s="2" t="s">
        <v>613</v>
      </c>
      <c r="D33" s="2" t="s">
        <v>771</v>
      </c>
    </row>
    <row r="34" spans="1:4" x14ac:dyDescent="0.3">
      <c r="A34" s="21" t="s">
        <v>772</v>
      </c>
      <c r="B34" s="75">
        <v>0.73</v>
      </c>
      <c r="C34" s="2" t="s">
        <v>613</v>
      </c>
      <c r="D34" s="2" t="s">
        <v>773</v>
      </c>
    </row>
    <row r="35" spans="1:4" x14ac:dyDescent="0.3">
      <c r="A35" s="21" t="s">
        <v>774</v>
      </c>
      <c r="B35" s="75">
        <v>0.08</v>
      </c>
      <c r="C35" s="2" t="s">
        <v>616</v>
      </c>
      <c r="D35" s="2" t="s">
        <v>775</v>
      </c>
    </row>
    <row r="36" spans="1:4" x14ac:dyDescent="0.3">
      <c r="A36" s="21" t="s">
        <v>457</v>
      </c>
      <c r="B36" s="75">
        <v>0.95</v>
      </c>
      <c r="C36" s="2" t="s">
        <v>622</v>
      </c>
      <c r="D36" s="2" t="s">
        <v>775</v>
      </c>
    </row>
    <row r="37" spans="1:4" x14ac:dyDescent="0.3">
      <c r="A37" s="21" t="s">
        <v>776</v>
      </c>
      <c r="B37" s="75">
        <v>0.6</v>
      </c>
      <c r="C37" s="2" t="s">
        <v>616</v>
      </c>
      <c r="D37" s="2" t="s">
        <v>775</v>
      </c>
    </row>
    <row r="38" spans="1:4" x14ac:dyDescent="0.3">
      <c r="A38" s="21" t="s">
        <v>615</v>
      </c>
      <c r="B38" s="75">
        <v>28</v>
      </c>
      <c r="C38" s="2" t="s">
        <v>616</v>
      </c>
      <c r="D38" s="2" t="s">
        <v>775</v>
      </c>
    </row>
    <row r="39" spans="1:4" x14ac:dyDescent="0.3">
      <c r="A39" s="21" t="s">
        <v>777</v>
      </c>
      <c r="B39" s="75">
        <v>0.12</v>
      </c>
      <c r="C39" s="2" t="s">
        <v>622</v>
      </c>
      <c r="D39" s="2" t="s">
        <v>775</v>
      </c>
    </row>
    <row r="40" spans="1:4" x14ac:dyDescent="0.3">
      <c r="A40" s="21" t="s">
        <v>778</v>
      </c>
      <c r="B40" s="75">
        <v>1.8</v>
      </c>
      <c r="C40" s="2" t="s">
        <v>613</v>
      </c>
      <c r="D40" s="2" t="s">
        <v>775</v>
      </c>
    </row>
    <row r="41" spans="1:4" x14ac:dyDescent="0.3">
      <c r="A41" s="21" t="s">
        <v>779</v>
      </c>
      <c r="B41" s="75">
        <v>160</v>
      </c>
      <c r="C41" s="2" t="s">
        <v>780</v>
      </c>
      <c r="D41" s="2" t="s">
        <v>781</v>
      </c>
    </row>
    <row r="42" spans="1:4" x14ac:dyDescent="0.3">
      <c r="A42" s="21" t="s">
        <v>782</v>
      </c>
      <c r="B42" s="78">
        <v>2.5</v>
      </c>
      <c r="C42" s="2" t="s">
        <v>783</v>
      </c>
      <c r="D42" s="2" t="s">
        <v>784</v>
      </c>
    </row>
    <row r="43" spans="1:4" x14ac:dyDescent="0.3">
      <c r="A43" s="21" t="s">
        <v>785</v>
      </c>
      <c r="B43" s="75">
        <v>6.5</v>
      </c>
      <c r="C43" s="2" t="s">
        <v>616</v>
      </c>
      <c r="D43" s="2" t="s">
        <v>786</v>
      </c>
    </row>
    <row r="44" spans="1:4" x14ac:dyDescent="0.3">
      <c r="A44" s="21" t="s">
        <v>787</v>
      </c>
      <c r="B44" s="7">
        <v>2</v>
      </c>
      <c r="C44" s="2" t="s">
        <v>140</v>
      </c>
      <c r="D44" s="2" t="s">
        <v>788</v>
      </c>
    </row>
    <row r="45" spans="1:4" x14ac:dyDescent="0.3">
      <c r="A45" s="21" t="s">
        <v>789</v>
      </c>
      <c r="B45" s="7">
        <v>6</v>
      </c>
      <c r="C45" s="2" t="s">
        <v>243</v>
      </c>
      <c r="D45" s="2" t="s">
        <v>790</v>
      </c>
    </row>
    <row r="46" spans="1:4" x14ac:dyDescent="0.3">
      <c r="A46" s="21" t="s">
        <v>791</v>
      </c>
      <c r="B46" s="79">
        <f>INT(($B$6-$B$28)/$B$27)+2</f>
        <v>12</v>
      </c>
      <c r="C46" s="2" t="s">
        <v>140</v>
      </c>
      <c r="D46" s="2" t="s">
        <v>792</v>
      </c>
    </row>
    <row r="47" spans="1:4" x14ac:dyDescent="0.3">
      <c r="A47" s="21" t="s">
        <v>793</v>
      </c>
      <c r="B47" s="82">
        <f>$B$7/12</f>
        <v>12</v>
      </c>
      <c r="C47" s="2" t="s">
        <v>585</v>
      </c>
      <c r="D47" s="2" t="s">
        <v>794</v>
      </c>
    </row>
    <row r="48" spans="1:4" x14ac:dyDescent="0.3">
      <c r="A48" s="21" t="s">
        <v>795</v>
      </c>
      <c r="B48" s="79">
        <f>INT(($B$7-24)/$B$29)+1+IF(MOD($B$7-24,$B$29)&gt;0,1,0)</f>
        <v>4</v>
      </c>
      <c r="C48" s="2" t="s">
        <v>140</v>
      </c>
      <c r="D48" s="2"/>
    </row>
    <row r="49" spans="1:11" x14ac:dyDescent="0.3">
      <c r="A49" s="21" t="s">
        <v>796</v>
      </c>
      <c r="B49" s="80">
        <f>$B$8*$B$26/12/27*(1+$B$11)</f>
        <v>3.7074074074074077</v>
      </c>
      <c r="C49" s="2" t="s">
        <v>379</v>
      </c>
      <c r="D49" s="2" t="s">
        <v>797</v>
      </c>
    </row>
    <row r="50" spans="1:11" x14ac:dyDescent="0.3">
      <c r="A50" s="21" t="s">
        <v>798</v>
      </c>
      <c r="B50" s="83">
        <f>($B$26/12*$B$13+$B$31)*$B$8</f>
        <v>3857</v>
      </c>
      <c r="C50" s="2" t="s">
        <v>224</v>
      </c>
      <c r="D50" s="2" t="s">
        <v>799</v>
      </c>
    </row>
    <row r="51" spans="1:11" x14ac:dyDescent="0.3">
      <c r="A51" s="21" t="s">
        <v>800</v>
      </c>
      <c r="B51" s="79">
        <f>MAX(4,$B$20*$B$44)</f>
        <v>10</v>
      </c>
      <c r="C51" s="2" t="s">
        <v>140</v>
      </c>
      <c r="D51" s="2" t="s">
        <v>801</v>
      </c>
    </row>
    <row r="53" spans="1:11" x14ac:dyDescent="0.3">
      <c r="A53" s="11" t="s">
        <v>407</v>
      </c>
      <c r="B53" s="11" t="s">
        <v>408</v>
      </c>
      <c r="C53" s="11" t="s">
        <v>409</v>
      </c>
      <c r="D53" s="11" t="s">
        <v>410</v>
      </c>
      <c r="E53" s="11" t="s">
        <v>411</v>
      </c>
      <c r="F53" s="11" t="s">
        <v>412</v>
      </c>
      <c r="G53" s="11" t="s">
        <v>413</v>
      </c>
      <c r="H53" s="11" t="s">
        <v>414</v>
      </c>
      <c r="I53" s="11" t="s">
        <v>415</v>
      </c>
      <c r="J53" s="11" t="s">
        <v>416</v>
      </c>
      <c r="K53" s="11" t="s">
        <v>417</v>
      </c>
    </row>
    <row r="54" spans="1:11" x14ac:dyDescent="0.3">
      <c r="A54" s="84" t="s">
        <v>802</v>
      </c>
      <c r="B54" s="85">
        <f>$B$49</f>
        <v>3.7074074074074077</v>
      </c>
      <c r="C54" s="86" t="s">
        <v>379</v>
      </c>
      <c r="D54" s="84" t="s">
        <v>420</v>
      </c>
      <c r="E54" s="71" t="s">
        <v>421</v>
      </c>
      <c r="F54" s="86" t="s">
        <v>803</v>
      </c>
      <c r="G54" s="89">
        <f>$B$14</f>
        <v>220</v>
      </c>
      <c r="H54" s="13">
        <f t="shared" ref="H54:H70" si="0">IF(D54="Material",B54*G54,0)</f>
        <v>815.62962962962968</v>
      </c>
      <c r="I54" s="13">
        <f t="shared" ref="I54:I70" si="1">IF(D54="Labor",B54*G54,0)</f>
        <v>0</v>
      </c>
      <c r="J54" s="13">
        <f t="shared" ref="J54:J70" si="2">H54+I54</f>
        <v>815.62962962962968</v>
      </c>
      <c r="K54" s="86" t="s">
        <v>804</v>
      </c>
    </row>
    <row r="55" spans="1:11" x14ac:dyDescent="0.3">
      <c r="A55" s="84" t="s">
        <v>805</v>
      </c>
      <c r="B55" s="85">
        <f>$B$46*$B$47</f>
        <v>144</v>
      </c>
      <c r="C55" s="86" t="s">
        <v>295</v>
      </c>
      <c r="D55" s="84" t="s">
        <v>420</v>
      </c>
      <c r="E55" s="71" t="s">
        <v>421</v>
      </c>
      <c r="F55" s="86" t="s">
        <v>806</v>
      </c>
      <c r="G55" s="89">
        <f>$B$32</f>
        <v>2.42</v>
      </c>
      <c r="H55" s="13">
        <f t="shared" si="0"/>
        <v>348.48</v>
      </c>
      <c r="I55" s="13">
        <f t="shared" si="1"/>
        <v>0</v>
      </c>
      <c r="J55" s="13">
        <f t="shared" si="2"/>
        <v>348.48</v>
      </c>
      <c r="K55" s="86" t="s">
        <v>807</v>
      </c>
    </row>
    <row r="56" spans="1:11" x14ac:dyDescent="0.3">
      <c r="A56" s="84" t="s">
        <v>770</v>
      </c>
      <c r="B56" s="85">
        <f>2*$B$6/12</f>
        <v>28</v>
      </c>
      <c r="C56" s="86" t="s">
        <v>295</v>
      </c>
      <c r="D56" s="84" t="s">
        <v>420</v>
      </c>
      <c r="E56" s="71" t="s">
        <v>421</v>
      </c>
      <c r="F56" s="86" t="s">
        <v>808</v>
      </c>
      <c r="G56" s="89">
        <f>$B$33</f>
        <v>2.42</v>
      </c>
      <c r="H56" s="13">
        <f t="shared" si="0"/>
        <v>67.759999999999991</v>
      </c>
      <c r="I56" s="13">
        <f t="shared" si="1"/>
        <v>0</v>
      </c>
      <c r="J56" s="13">
        <f t="shared" si="2"/>
        <v>67.759999999999991</v>
      </c>
      <c r="K56" s="86"/>
    </row>
    <row r="57" spans="1:11" x14ac:dyDescent="0.3">
      <c r="A57" s="84" t="s">
        <v>809</v>
      </c>
      <c r="B57" s="85">
        <f>$B$48*$B$6/12</f>
        <v>56</v>
      </c>
      <c r="C57" s="86" t="s">
        <v>295</v>
      </c>
      <c r="D57" s="84" t="s">
        <v>420</v>
      </c>
      <c r="E57" s="71" t="s">
        <v>421</v>
      </c>
      <c r="F57" s="86" t="s">
        <v>810</v>
      </c>
      <c r="G57" s="89">
        <f>$B$34</f>
        <v>0.73</v>
      </c>
      <c r="H57" s="13">
        <f t="shared" si="0"/>
        <v>40.879999999999995</v>
      </c>
      <c r="I57" s="13">
        <f t="shared" si="1"/>
        <v>0</v>
      </c>
      <c r="J57" s="13">
        <f t="shared" si="2"/>
        <v>40.879999999999995</v>
      </c>
      <c r="K57" s="86"/>
    </row>
    <row r="58" spans="1:11" x14ac:dyDescent="0.3">
      <c r="A58" s="84" t="s">
        <v>440</v>
      </c>
      <c r="B58" s="87">
        <f>$B$48*$B$46*$B$15</f>
        <v>96</v>
      </c>
      <c r="C58" s="86" t="s">
        <v>140</v>
      </c>
      <c r="D58" s="84" t="s">
        <v>420</v>
      </c>
      <c r="E58" s="71" t="s">
        <v>421</v>
      </c>
      <c r="F58" s="86" t="s">
        <v>811</v>
      </c>
      <c r="G58" s="89">
        <f>$B$35</f>
        <v>0.08</v>
      </c>
      <c r="H58" s="13">
        <f t="shared" si="0"/>
        <v>7.68</v>
      </c>
      <c r="I58" s="13">
        <f t="shared" si="1"/>
        <v>0</v>
      </c>
      <c r="J58" s="13">
        <f t="shared" si="2"/>
        <v>7.68</v>
      </c>
      <c r="K58" s="86"/>
    </row>
    <row r="59" spans="1:11" x14ac:dyDescent="0.3">
      <c r="A59" s="84" t="s">
        <v>457</v>
      </c>
      <c r="B59" s="85">
        <f>$B$8*(1+$B$12)</f>
        <v>184.8</v>
      </c>
      <c r="C59" s="86" t="s">
        <v>292</v>
      </c>
      <c r="D59" s="84" t="s">
        <v>420</v>
      </c>
      <c r="E59" s="71" t="s">
        <v>421</v>
      </c>
      <c r="F59" s="86" t="s">
        <v>812</v>
      </c>
      <c r="G59" s="89">
        <f>$B$36</f>
        <v>0.95</v>
      </c>
      <c r="H59" s="13">
        <f t="shared" si="0"/>
        <v>175.56</v>
      </c>
      <c r="I59" s="13">
        <f t="shared" si="1"/>
        <v>0</v>
      </c>
      <c r="J59" s="13">
        <f t="shared" si="2"/>
        <v>175.56</v>
      </c>
      <c r="K59" s="86"/>
    </row>
    <row r="60" spans="1:11" x14ac:dyDescent="0.3">
      <c r="A60" s="84" t="s">
        <v>776</v>
      </c>
      <c r="B60" s="87">
        <f>$B$48*$B$46</f>
        <v>48</v>
      </c>
      <c r="C60" s="86" t="s">
        <v>140</v>
      </c>
      <c r="D60" s="84" t="s">
        <v>420</v>
      </c>
      <c r="E60" s="71" t="s">
        <v>421</v>
      </c>
      <c r="F60" s="86" t="s">
        <v>813</v>
      </c>
      <c r="G60" s="89">
        <f>$B$37</f>
        <v>0.6</v>
      </c>
      <c r="H60" s="13">
        <f t="shared" si="0"/>
        <v>28.799999999999997</v>
      </c>
      <c r="I60" s="13">
        <f t="shared" si="1"/>
        <v>0</v>
      </c>
      <c r="J60" s="13">
        <f t="shared" si="2"/>
        <v>28.799999999999997</v>
      </c>
      <c r="K60" s="86"/>
    </row>
    <row r="61" spans="1:11" x14ac:dyDescent="0.3">
      <c r="A61" s="84" t="s">
        <v>615</v>
      </c>
      <c r="B61" s="87">
        <f>$B$30</f>
        <v>8</v>
      </c>
      <c r="C61" s="86" t="s">
        <v>140</v>
      </c>
      <c r="D61" s="84" t="s">
        <v>420</v>
      </c>
      <c r="E61" s="71" t="s">
        <v>421</v>
      </c>
      <c r="F61" s="86" t="s">
        <v>814</v>
      </c>
      <c r="G61" s="89">
        <f>$B$38</f>
        <v>28</v>
      </c>
      <c r="H61" s="13">
        <f t="shared" si="0"/>
        <v>224</v>
      </c>
      <c r="I61" s="13">
        <f t="shared" si="1"/>
        <v>0</v>
      </c>
      <c r="J61" s="13">
        <f t="shared" si="2"/>
        <v>224</v>
      </c>
      <c r="K61" s="86"/>
    </row>
    <row r="62" spans="1:11" x14ac:dyDescent="0.3">
      <c r="A62" s="84" t="s">
        <v>815</v>
      </c>
      <c r="B62" s="85">
        <f>$B$8*1.1</f>
        <v>184.8</v>
      </c>
      <c r="C62" s="86" t="s">
        <v>292</v>
      </c>
      <c r="D62" s="84" t="s">
        <v>420</v>
      </c>
      <c r="E62" s="71" t="s">
        <v>421</v>
      </c>
      <c r="F62" s="86" t="s">
        <v>816</v>
      </c>
      <c r="G62" s="89">
        <f>$B$39</f>
        <v>0.12</v>
      </c>
      <c r="H62" s="13">
        <f t="shared" si="0"/>
        <v>22.176000000000002</v>
      </c>
      <c r="I62" s="13">
        <f t="shared" si="1"/>
        <v>0</v>
      </c>
      <c r="J62" s="13">
        <f t="shared" si="2"/>
        <v>22.176000000000002</v>
      </c>
      <c r="K62" s="86"/>
    </row>
    <row r="63" spans="1:11" x14ac:dyDescent="0.3">
      <c r="A63" s="84" t="s">
        <v>817</v>
      </c>
      <c r="B63" s="85">
        <f>$B$9</f>
        <v>52</v>
      </c>
      <c r="C63" s="86" t="s">
        <v>295</v>
      </c>
      <c r="D63" s="84" t="s">
        <v>420</v>
      </c>
      <c r="E63" s="71" t="s">
        <v>421</v>
      </c>
      <c r="F63" s="86" t="s">
        <v>818</v>
      </c>
      <c r="G63" s="89">
        <f>$B$40</f>
        <v>1.8</v>
      </c>
      <c r="H63" s="13">
        <f t="shared" si="0"/>
        <v>93.600000000000009</v>
      </c>
      <c r="I63" s="13">
        <f t="shared" si="1"/>
        <v>0</v>
      </c>
      <c r="J63" s="13">
        <f t="shared" si="2"/>
        <v>93.600000000000009</v>
      </c>
      <c r="K63" s="86"/>
    </row>
    <row r="64" spans="1:11" x14ac:dyDescent="0.3">
      <c r="A64" s="84" t="s">
        <v>745</v>
      </c>
      <c r="B64" s="85">
        <f>$B$8*$B$16</f>
        <v>20.16</v>
      </c>
      <c r="C64" s="86" t="s">
        <v>243</v>
      </c>
      <c r="D64" s="84" t="s">
        <v>31</v>
      </c>
      <c r="E64" s="71" t="s">
        <v>421</v>
      </c>
      <c r="F64" s="86" t="s">
        <v>819</v>
      </c>
      <c r="G64" s="89">
        <f>$B$10</f>
        <v>35</v>
      </c>
      <c r="H64" s="13">
        <f t="shared" si="0"/>
        <v>0</v>
      </c>
      <c r="I64" s="13">
        <f t="shared" si="1"/>
        <v>705.6</v>
      </c>
      <c r="J64" s="13">
        <f t="shared" si="2"/>
        <v>705.6</v>
      </c>
      <c r="K64" s="86" t="s">
        <v>820</v>
      </c>
    </row>
    <row r="65" spans="1:11" x14ac:dyDescent="0.3">
      <c r="A65" s="84" t="s">
        <v>747</v>
      </c>
      <c r="B65" s="85">
        <f>$B$8*$B$17</f>
        <v>5.04</v>
      </c>
      <c r="C65" s="86" t="s">
        <v>243</v>
      </c>
      <c r="D65" s="84" t="s">
        <v>31</v>
      </c>
      <c r="E65" s="71" t="s">
        <v>421</v>
      </c>
      <c r="F65" s="86" t="s">
        <v>821</v>
      </c>
      <c r="G65" s="89">
        <f>$B$10</f>
        <v>35</v>
      </c>
      <c r="H65" s="13">
        <f t="shared" si="0"/>
        <v>0</v>
      </c>
      <c r="I65" s="13">
        <f t="shared" si="1"/>
        <v>176.4</v>
      </c>
      <c r="J65" s="13">
        <f t="shared" si="2"/>
        <v>176.4</v>
      </c>
      <c r="K65" s="86" t="s">
        <v>820</v>
      </c>
    </row>
    <row r="66" spans="1:11" x14ac:dyDescent="0.3">
      <c r="A66" s="84" t="s">
        <v>749</v>
      </c>
      <c r="B66" s="85">
        <f>$B$49*$B$18</f>
        <v>5.5611111111111118</v>
      </c>
      <c r="C66" s="86" t="s">
        <v>243</v>
      </c>
      <c r="D66" s="84" t="s">
        <v>31</v>
      </c>
      <c r="E66" s="71" t="s">
        <v>421</v>
      </c>
      <c r="F66" s="86" t="s">
        <v>822</v>
      </c>
      <c r="G66" s="89">
        <f>$B$10</f>
        <v>35</v>
      </c>
      <c r="H66" s="13">
        <f t="shared" si="0"/>
        <v>0</v>
      </c>
      <c r="I66" s="13">
        <f t="shared" si="1"/>
        <v>194.63888888888891</v>
      </c>
      <c r="J66" s="13">
        <f t="shared" si="2"/>
        <v>194.63888888888891</v>
      </c>
      <c r="K66" s="86" t="s">
        <v>820</v>
      </c>
    </row>
    <row r="67" spans="1:11" x14ac:dyDescent="0.3">
      <c r="A67" s="84" t="s">
        <v>823</v>
      </c>
      <c r="B67" s="87">
        <f>$B$19</f>
        <v>1</v>
      </c>
      <c r="C67" s="86" t="s">
        <v>192</v>
      </c>
      <c r="D67" s="84" t="s">
        <v>420</v>
      </c>
      <c r="E67" s="71" t="s">
        <v>421</v>
      </c>
      <c r="F67" s="86" t="s">
        <v>824</v>
      </c>
      <c r="G67" s="89">
        <f>$B$41</f>
        <v>160</v>
      </c>
      <c r="H67" s="13">
        <f t="shared" si="0"/>
        <v>160</v>
      </c>
      <c r="I67" s="13">
        <f t="shared" si="1"/>
        <v>0</v>
      </c>
      <c r="J67" s="13">
        <f t="shared" si="2"/>
        <v>160</v>
      </c>
      <c r="K67" s="86" t="s">
        <v>511</v>
      </c>
    </row>
    <row r="68" spans="1:11" x14ac:dyDescent="0.3">
      <c r="A68" s="84" t="s">
        <v>825</v>
      </c>
      <c r="B68" s="85">
        <f>$B$19*$B$42</f>
        <v>2.5</v>
      </c>
      <c r="C68" s="86" t="s">
        <v>243</v>
      </c>
      <c r="D68" s="84" t="s">
        <v>31</v>
      </c>
      <c r="E68" s="71" t="s">
        <v>421</v>
      </c>
      <c r="F68" s="86" t="s">
        <v>826</v>
      </c>
      <c r="G68" s="89">
        <f>$B$10</f>
        <v>35</v>
      </c>
      <c r="H68" s="13">
        <f t="shared" si="0"/>
        <v>0</v>
      </c>
      <c r="I68" s="13">
        <f t="shared" si="1"/>
        <v>87.5</v>
      </c>
      <c r="J68" s="13">
        <f t="shared" si="2"/>
        <v>87.5</v>
      </c>
      <c r="K68" s="86" t="s">
        <v>820</v>
      </c>
    </row>
    <row r="69" spans="1:11" x14ac:dyDescent="0.3">
      <c r="A69" s="84" t="s">
        <v>800</v>
      </c>
      <c r="B69" s="87">
        <f>$B$51</f>
        <v>10</v>
      </c>
      <c r="C69" s="86" t="s">
        <v>140</v>
      </c>
      <c r="D69" s="84" t="s">
        <v>420</v>
      </c>
      <c r="E69" s="71" t="s">
        <v>421</v>
      </c>
      <c r="F69" s="86" t="s">
        <v>827</v>
      </c>
      <c r="G69" s="89">
        <f>$B$43</f>
        <v>6.5</v>
      </c>
      <c r="H69" s="13">
        <f t="shared" si="0"/>
        <v>65</v>
      </c>
      <c r="I69" s="13">
        <f t="shared" si="1"/>
        <v>0</v>
      </c>
      <c r="J69" s="13">
        <f t="shared" si="2"/>
        <v>65</v>
      </c>
      <c r="K69" s="86" t="s">
        <v>828</v>
      </c>
    </row>
    <row r="70" spans="1:11" x14ac:dyDescent="0.3">
      <c r="A70" s="84" t="s">
        <v>829</v>
      </c>
      <c r="B70" s="85">
        <f>$B$45</f>
        <v>6</v>
      </c>
      <c r="C70" s="86" t="s">
        <v>243</v>
      </c>
      <c r="D70" s="84" t="s">
        <v>31</v>
      </c>
      <c r="E70" s="71" t="s">
        <v>421</v>
      </c>
      <c r="F70" s="86" t="s">
        <v>830</v>
      </c>
      <c r="G70" s="89">
        <f>$B$10</f>
        <v>35</v>
      </c>
      <c r="H70" s="13">
        <f t="shared" si="0"/>
        <v>0</v>
      </c>
      <c r="I70" s="13">
        <f t="shared" si="1"/>
        <v>210</v>
      </c>
      <c r="J70" s="13">
        <f t="shared" si="2"/>
        <v>210</v>
      </c>
      <c r="K70" s="86" t="s">
        <v>820</v>
      </c>
    </row>
    <row r="71" spans="1:11" x14ac:dyDescent="0.3">
      <c r="A71" s="16" t="s">
        <v>831</v>
      </c>
      <c r="B71" s="20"/>
      <c r="C71" s="20"/>
      <c r="D71" s="20"/>
      <c r="E71" s="20"/>
      <c r="F71" s="20"/>
      <c r="G71" s="20"/>
      <c r="H71" s="88">
        <f>SUM(H54:H70)</f>
        <v>2049.5656296296293</v>
      </c>
      <c r="I71" s="88">
        <f>SUM(I54:I70)</f>
        <v>1374.1388888888889</v>
      </c>
      <c r="J71" s="88">
        <f>SUM(J54:J70)</f>
        <v>3423.7045185185179</v>
      </c>
      <c r="K71" s="20"/>
    </row>
    <row r="73" spans="1:11" x14ac:dyDescent="0.3">
      <c r="A73" s="6" t="s">
        <v>832</v>
      </c>
    </row>
    <row r="74" spans="1:11" x14ac:dyDescent="0.3">
      <c r="A74" s="16" t="s">
        <v>542</v>
      </c>
      <c r="B74" s="20"/>
      <c r="C74" s="20"/>
      <c r="D74" s="20"/>
      <c r="E74" s="20"/>
      <c r="F74" s="20"/>
      <c r="G74" s="20"/>
      <c r="H74" s="88">
        <f>SUMIFS(H54:H70,$D$54:$D$70,"Material",$E$54:$E$70,"Plant")</f>
        <v>2049.5656296296293</v>
      </c>
      <c r="I74" s="88">
        <f>SUMIFS(I54:I70,$D$54:$D$70,"Labor",$E$54:$E$70,"Plant")</f>
        <v>1374.1388888888889</v>
      </c>
      <c r="J74" s="88">
        <f>H74+I74</f>
        <v>3423.7045185185179</v>
      </c>
      <c r="K74" s="93" t="s">
        <v>543</v>
      </c>
    </row>
    <row r="75" spans="1:11" x14ac:dyDescent="0.3">
      <c r="A75" s="6" t="s">
        <v>544</v>
      </c>
      <c r="B75" s="94">
        <f>SUMIFS(B54:B70,$D$54:$D$70,"Labor",$E$54:$E$70,"Plant")</f>
        <v>39.261111111111113</v>
      </c>
      <c r="C75" s="2" t="s">
        <v>243</v>
      </c>
      <c r="K75" s="2" t="s">
        <v>545</v>
      </c>
    </row>
    <row r="76" spans="1:11" x14ac:dyDescent="0.3">
      <c r="A76" s="16" t="s">
        <v>546</v>
      </c>
      <c r="B76" s="20"/>
      <c r="C76" s="20"/>
      <c r="D76" s="20"/>
      <c r="E76" s="20"/>
      <c r="F76" s="20"/>
      <c r="G76" s="20"/>
      <c r="H76" s="88">
        <f>SUMIFS(H54:H70,$D$54:$D$70,"Material",$E$54:$E$70,"Site")</f>
        <v>0</v>
      </c>
      <c r="I76" s="88">
        <f>SUMIFS(I54:I70,$D$54:$D$70,"Labor",$E$54:$E$70,"Site")</f>
        <v>0</v>
      </c>
      <c r="J76" s="88">
        <f>H76+I76</f>
        <v>0</v>
      </c>
      <c r="K76" s="93" t="s">
        <v>547</v>
      </c>
    </row>
    <row r="77" spans="1:11" x14ac:dyDescent="0.3">
      <c r="A77" s="2" t="s">
        <v>548</v>
      </c>
      <c r="J77" s="95">
        <f>$J$74+$J$76-$J$71</f>
        <v>0</v>
      </c>
    </row>
    <row r="79" spans="1:11" x14ac:dyDescent="0.3">
      <c r="A79" s="21" t="s">
        <v>833</v>
      </c>
      <c r="J79" s="96">
        <f>Manufacturing!$D$32</f>
        <v>5286.2787555555542</v>
      </c>
    </row>
    <row r="80" spans="1:11" x14ac:dyDescent="0.3">
      <c r="A80" s="21" t="s">
        <v>834</v>
      </c>
      <c r="J80" s="22">
        <f>$J$79/$B$8</f>
        <v>31.465944973544964</v>
      </c>
    </row>
    <row r="82" spans="1:11" ht="30" customHeight="1" x14ac:dyDescent="0.3">
      <c r="A82" s="121" t="s">
        <v>835</v>
      </c>
      <c r="B82" s="122"/>
      <c r="C82" s="122"/>
      <c r="D82" s="122"/>
      <c r="E82" s="122"/>
      <c r="F82" s="122"/>
      <c r="G82" s="122"/>
      <c r="H82" s="122"/>
      <c r="I82" s="122"/>
      <c r="J82" s="122"/>
      <c r="K82" s="122"/>
    </row>
    <row r="83" spans="1:11" ht="30" customHeight="1" x14ac:dyDescent="0.3">
      <c r="A83" s="121" t="s">
        <v>836</v>
      </c>
      <c r="B83" s="122"/>
      <c r="C83" s="122"/>
      <c r="D83" s="122"/>
      <c r="E83" s="122"/>
      <c r="F83" s="122"/>
      <c r="G83" s="122"/>
      <c r="H83" s="122"/>
      <c r="I83" s="122"/>
      <c r="J83" s="122"/>
      <c r="K83" s="122"/>
    </row>
  </sheetData>
  <mergeCells count="3">
    <mergeCell ref="A83:K83"/>
    <mergeCell ref="A82:K82"/>
    <mergeCell ref="A2:J2"/>
  </mergeCells>
  <dataValidations count="1">
    <dataValidation type="list" allowBlank="1" sqref="E54:E70" xr:uid="{00000000-0002-0000-0300-000000000000}">
      <formula1>"Plant,Site"</formula1>
    </dataValidation>
  </dataValidation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9"/>
  <sheetViews>
    <sheetView showGridLines="0" workbookViewId="0">
      <pane ySplit="4" topLeftCell="A5" activePane="bottomLeft" state="frozen"/>
      <selection pane="bottomLeft"/>
    </sheetView>
  </sheetViews>
  <sheetFormatPr defaultRowHeight="14.4" x14ac:dyDescent="0.3"/>
  <cols>
    <col min="1" max="1" width="54" customWidth="1"/>
    <col min="2" max="3" width="14" customWidth="1"/>
    <col min="4" max="4" width="9" customWidth="1"/>
    <col min="5" max="5" width="7" customWidth="1"/>
    <col min="6" max="6" width="34" customWidth="1"/>
    <col min="7" max="7" width="12" customWidth="1"/>
    <col min="8" max="10" width="13" customWidth="1"/>
    <col min="11" max="11" width="60" customWidth="1"/>
  </cols>
  <sheetData>
    <row r="1" spans="1:11" ht="17.399999999999999" x14ac:dyDescent="0.3">
      <c r="A1" s="57" t="s">
        <v>837</v>
      </c>
    </row>
    <row r="2" spans="1:11" ht="58.05" customHeight="1" x14ac:dyDescent="0.3">
      <c r="A2" s="121" t="s">
        <v>838</v>
      </c>
      <c r="B2" s="122"/>
      <c r="C2" s="122"/>
      <c r="D2" s="122"/>
      <c r="E2" s="122"/>
      <c r="F2" s="122"/>
      <c r="G2" s="122"/>
      <c r="H2" s="122"/>
      <c r="I2" s="122"/>
      <c r="J2" s="122"/>
    </row>
    <row r="3" spans="1:11" x14ac:dyDescent="0.3">
      <c r="A3" s="3" t="s">
        <v>123</v>
      </c>
    </row>
    <row r="5" spans="1:11" x14ac:dyDescent="0.3">
      <c r="A5" s="4" t="s">
        <v>839</v>
      </c>
      <c r="B5" s="5"/>
      <c r="C5" s="5"/>
      <c r="D5" s="5"/>
      <c r="E5" s="5"/>
      <c r="F5" s="5"/>
      <c r="G5" s="5"/>
      <c r="H5" s="5"/>
      <c r="I5" s="5"/>
      <c r="J5" s="5"/>
      <c r="K5" s="5"/>
    </row>
    <row r="6" spans="1:11" x14ac:dyDescent="0.3">
      <c r="A6" s="21" t="s">
        <v>840</v>
      </c>
      <c r="B6" s="72" t="str">
        <f>Summary!$B$7</f>
        <v>painted</v>
      </c>
      <c r="C6" s="2"/>
      <c r="D6" s="2" t="s">
        <v>841</v>
      </c>
    </row>
    <row r="7" spans="1:11" x14ac:dyDescent="0.3">
      <c r="A7" s="21" t="s">
        <v>842</v>
      </c>
      <c r="B7" s="72">
        <f>Walls!$B$104</f>
        <v>168</v>
      </c>
      <c r="C7" s="2" t="s">
        <v>145</v>
      </c>
      <c r="D7" s="2" t="s">
        <v>843</v>
      </c>
    </row>
    <row r="8" spans="1:11" x14ac:dyDescent="0.3">
      <c r="A8" s="21" t="s">
        <v>844</v>
      </c>
      <c r="B8" s="72">
        <f>Walls!$B$105</f>
        <v>144</v>
      </c>
      <c r="C8" s="2" t="s">
        <v>145</v>
      </c>
      <c r="D8" s="2" t="s">
        <v>845</v>
      </c>
    </row>
    <row r="9" spans="1:11" x14ac:dyDescent="0.3">
      <c r="A9" s="21" t="s">
        <v>239</v>
      </c>
      <c r="B9" s="30">
        <f>Walls!$B$74</f>
        <v>35</v>
      </c>
      <c r="C9" s="2" t="s">
        <v>240</v>
      </c>
      <c r="D9" s="2" t="s">
        <v>570</v>
      </c>
    </row>
    <row r="11" spans="1:11" x14ac:dyDescent="0.3">
      <c r="A11" s="4" t="s">
        <v>846</v>
      </c>
      <c r="B11" s="5"/>
      <c r="C11" s="5"/>
      <c r="D11" s="5"/>
      <c r="E11" s="5"/>
      <c r="F11" s="5"/>
      <c r="G11" s="5"/>
      <c r="H11" s="5"/>
      <c r="I11" s="5"/>
      <c r="J11" s="5"/>
      <c r="K11" s="5"/>
    </row>
    <row r="12" spans="1:11" x14ac:dyDescent="0.3">
      <c r="A12" s="21" t="s">
        <v>847</v>
      </c>
      <c r="B12" s="71" t="s">
        <v>848</v>
      </c>
      <c r="C12" s="2"/>
      <c r="D12" s="2" t="s">
        <v>849</v>
      </c>
    </row>
    <row r="13" spans="1:11" x14ac:dyDescent="0.3">
      <c r="A13" s="21" t="s">
        <v>850</v>
      </c>
      <c r="B13" s="102">
        <v>14.53</v>
      </c>
      <c r="C13" s="2" t="s">
        <v>851</v>
      </c>
      <c r="D13" s="2" t="s">
        <v>852</v>
      </c>
    </row>
    <row r="14" spans="1:11" x14ac:dyDescent="0.3">
      <c r="A14" s="21" t="s">
        <v>853</v>
      </c>
      <c r="B14" s="71">
        <v>6</v>
      </c>
      <c r="C14" s="2" t="s">
        <v>145</v>
      </c>
      <c r="D14" s="2"/>
    </row>
    <row r="15" spans="1:11" x14ac:dyDescent="0.3">
      <c r="A15" s="21" t="s">
        <v>854</v>
      </c>
      <c r="B15" s="71">
        <v>4</v>
      </c>
      <c r="C15" s="2" t="s">
        <v>145</v>
      </c>
      <c r="D15" s="2"/>
    </row>
    <row r="16" spans="1:11" x14ac:dyDescent="0.3">
      <c r="A16" s="21" t="s">
        <v>855</v>
      </c>
      <c r="B16" s="71">
        <v>150</v>
      </c>
      <c r="C16" s="2" t="s">
        <v>145</v>
      </c>
      <c r="D16" s="2" t="s">
        <v>856</v>
      </c>
    </row>
    <row r="17" spans="1:4" x14ac:dyDescent="0.3">
      <c r="A17" s="21" t="s">
        <v>857</v>
      </c>
      <c r="B17" s="71" t="s">
        <v>858</v>
      </c>
      <c r="C17" s="2"/>
      <c r="D17" s="2" t="s">
        <v>859</v>
      </c>
    </row>
    <row r="18" spans="1:4" x14ac:dyDescent="0.3">
      <c r="A18" s="21" t="s">
        <v>860</v>
      </c>
      <c r="B18" s="102">
        <v>12.21</v>
      </c>
      <c r="C18" s="2" t="s">
        <v>851</v>
      </c>
      <c r="D18" s="2" t="s">
        <v>861</v>
      </c>
    </row>
    <row r="19" spans="1:4" x14ac:dyDescent="0.3">
      <c r="A19" s="21" t="s">
        <v>862</v>
      </c>
      <c r="B19" s="71">
        <v>4</v>
      </c>
      <c r="C19" s="2" t="s">
        <v>145</v>
      </c>
      <c r="D19" s="2"/>
    </row>
    <row r="20" spans="1:4" x14ac:dyDescent="0.3">
      <c r="A20" s="21" t="s">
        <v>863</v>
      </c>
      <c r="B20" s="71">
        <v>48</v>
      </c>
      <c r="C20" s="2" t="s">
        <v>145</v>
      </c>
      <c r="D20" s="2" t="s">
        <v>864</v>
      </c>
    </row>
    <row r="21" spans="1:4" x14ac:dyDescent="0.3">
      <c r="A21" s="21" t="s">
        <v>865</v>
      </c>
      <c r="B21" s="71" t="s">
        <v>866</v>
      </c>
      <c r="C21" s="2"/>
      <c r="D21" s="2" t="s">
        <v>867</v>
      </c>
    </row>
    <row r="22" spans="1:4" x14ac:dyDescent="0.3">
      <c r="A22" s="21" t="s">
        <v>868</v>
      </c>
      <c r="B22" s="102">
        <v>22.37</v>
      </c>
      <c r="C22" s="2" t="s">
        <v>851</v>
      </c>
      <c r="D22" s="2" t="s">
        <v>869</v>
      </c>
    </row>
    <row r="23" spans="1:4" x14ac:dyDescent="0.3">
      <c r="A23" s="21" t="s">
        <v>870</v>
      </c>
      <c r="B23" s="71">
        <v>8</v>
      </c>
      <c r="C23" s="2" t="s">
        <v>145</v>
      </c>
      <c r="D23" s="2"/>
    </row>
    <row r="24" spans="1:4" x14ac:dyDescent="0.3">
      <c r="A24" s="21" t="s">
        <v>871</v>
      </c>
      <c r="B24" s="71">
        <v>4</v>
      </c>
      <c r="C24" s="2" t="s">
        <v>140</v>
      </c>
      <c r="D24" s="2" t="s">
        <v>872</v>
      </c>
    </row>
    <row r="25" spans="1:4" x14ac:dyDescent="0.3">
      <c r="A25" s="21" t="s">
        <v>873</v>
      </c>
      <c r="B25" s="71">
        <v>6</v>
      </c>
      <c r="C25" s="2" t="s">
        <v>145</v>
      </c>
      <c r="D25" s="2" t="s">
        <v>874</v>
      </c>
    </row>
    <row r="26" spans="1:4" x14ac:dyDescent="0.3">
      <c r="A26" s="21" t="s">
        <v>875</v>
      </c>
      <c r="B26" s="71">
        <v>4</v>
      </c>
      <c r="C26" s="2" t="s">
        <v>140</v>
      </c>
      <c r="D26" s="2" t="s">
        <v>876</v>
      </c>
    </row>
    <row r="27" spans="1:4" x14ac:dyDescent="0.3">
      <c r="A27" s="21" t="s">
        <v>877</v>
      </c>
      <c r="B27" s="103">
        <v>10000</v>
      </c>
      <c r="C27" s="2" t="s">
        <v>878</v>
      </c>
      <c r="D27" s="2" t="s">
        <v>879</v>
      </c>
    </row>
    <row r="28" spans="1:4" x14ac:dyDescent="0.3">
      <c r="A28" s="21" t="s">
        <v>880</v>
      </c>
      <c r="B28" s="71">
        <v>12</v>
      </c>
      <c r="C28" s="2" t="s">
        <v>878</v>
      </c>
      <c r="D28" s="2" t="s">
        <v>881</v>
      </c>
    </row>
    <row r="29" spans="1:4" x14ac:dyDescent="0.3">
      <c r="A29" s="21" t="s">
        <v>882</v>
      </c>
      <c r="B29" s="71">
        <v>8</v>
      </c>
      <c r="C29" s="2" t="s">
        <v>145</v>
      </c>
      <c r="D29" s="2" t="s">
        <v>883</v>
      </c>
    </row>
    <row r="30" spans="1:4" x14ac:dyDescent="0.3">
      <c r="A30" s="21" t="s">
        <v>884</v>
      </c>
      <c r="B30" s="71">
        <v>6</v>
      </c>
      <c r="C30" s="2" t="s">
        <v>145</v>
      </c>
      <c r="D30" s="2" t="s">
        <v>885</v>
      </c>
    </row>
    <row r="31" spans="1:4" x14ac:dyDescent="0.3">
      <c r="A31" s="21" t="s">
        <v>886</v>
      </c>
      <c r="B31" s="71">
        <v>4</v>
      </c>
      <c r="C31" s="2" t="s">
        <v>140</v>
      </c>
      <c r="D31" s="2" t="s">
        <v>887</v>
      </c>
    </row>
    <row r="32" spans="1:4" x14ac:dyDescent="0.3">
      <c r="A32" s="21" t="s">
        <v>888</v>
      </c>
      <c r="B32" s="103">
        <v>1200</v>
      </c>
      <c r="C32" s="2" t="s">
        <v>224</v>
      </c>
      <c r="D32" s="2" t="s">
        <v>889</v>
      </c>
    </row>
    <row r="34" spans="1:11" x14ac:dyDescent="0.3">
      <c r="A34" s="4" t="s">
        <v>890</v>
      </c>
      <c r="B34" s="5"/>
      <c r="C34" s="5"/>
      <c r="D34" s="5"/>
      <c r="E34" s="5"/>
      <c r="F34" s="5"/>
      <c r="G34" s="5"/>
      <c r="H34" s="5"/>
      <c r="I34" s="5"/>
      <c r="J34" s="5"/>
      <c r="K34" s="5"/>
    </row>
    <row r="35" spans="1:11" x14ac:dyDescent="0.3">
      <c r="A35" s="21" t="s">
        <v>891</v>
      </c>
      <c r="B35" s="75">
        <v>1.85</v>
      </c>
      <c r="C35" s="2" t="s">
        <v>892</v>
      </c>
      <c r="D35" s="2" t="s">
        <v>893</v>
      </c>
    </row>
    <row r="36" spans="1:11" x14ac:dyDescent="0.3">
      <c r="A36" s="21" t="s">
        <v>894</v>
      </c>
      <c r="B36" s="75">
        <v>45</v>
      </c>
      <c r="C36" s="2" t="s">
        <v>616</v>
      </c>
      <c r="D36" s="2" t="s">
        <v>775</v>
      </c>
    </row>
    <row r="37" spans="1:11" x14ac:dyDescent="0.3">
      <c r="A37" s="21" t="s">
        <v>895</v>
      </c>
      <c r="B37" s="75">
        <v>18</v>
      </c>
      <c r="C37" s="2" t="s">
        <v>616</v>
      </c>
      <c r="D37" s="2" t="s">
        <v>775</v>
      </c>
    </row>
    <row r="38" spans="1:11" x14ac:dyDescent="0.3">
      <c r="A38" s="21" t="s">
        <v>896</v>
      </c>
      <c r="B38" s="75">
        <v>1.4</v>
      </c>
      <c r="C38" s="2" t="s">
        <v>897</v>
      </c>
      <c r="D38" s="2" t="s">
        <v>775</v>
      </c>
    </row>
    <row r="39" spans="1:11" x14ac:dyDescent="0.3">
      <c r="A39" s="21" t="s">
        <v>898</v>
      </c>
      <c r="B39" s="7">
        <v>8</v>
      </c>
      <c r="C39" s="2" t="s">
        <v>243</v>
      </c>
      <c r="D39" s="2" t="s">
        <v>899</v>
      </c>
    </row>
    <row r="40" spans="1:11" x14ac:dyDescent="0.3">
      <c r="A40" s="21" t="s">
        <v>900</v>
      </c>
      <c r="B40" s="77">
        <v>0.3</v>
      </c>
      <c r="C40" s="2" t="s">
        <v>901</v>
      </c>
      <c r="D40" s="2" t="s">
        <v>902</v>
      </c>
    </row>
    <row r="41" spans="1:11" x14ac:dyDescent="0.3">
      <c r="A41" s="21" t="s">
        <v>903</v>
      </c>
      <c r="B41" s="75">
        <v>2.75</v>
      </c>
      <c r="C41" s="2" t="s">
        <v>904</v>
      </c>
      <c r="D41" s="2" t="s">
        <v>905</v>
      </c>
    </row>
    <row r="42" spans="1:11" x14ac:dyDescent="0.3">
      <c r="A42" s="21" t="s">
        <v>906</v>
      </c>
      <c r="B42" s="77">
        <v>0.06</v>
      </c>
      <c r="C42" s="2" t="s">
        <v>626</v>
      </c>
      <c r="D42" s="2" t="s">
        <v>907</v>
      </c>
    </row>
    <row r="43" spans="1:11" x14ac:dyDescent="0.3">
      <c r="A43" s="21" t="s">
        <v>908</v>
      </c>
      <c r="B43" s="75">
        <v>9.5</v>
      </c>
      <c r="C43" s="2" t="s">
        <v>904</v>
      </c>
      <c r="D43" s="2" t="s">
        <v>909</v>
      </c>
    </row>
    <row r="45" spans="1:11" x14ac:dyDescent="0.3">
      <c r="A45" s="4" t="s">
        <v>910</v>
      </c>
      <c r="B45" s="5"/>
      <c r="C45" s="5"/>
      <c r="D45" s="5"/>
      <c r="E45" s="5"/>
      <c r="F45" s="5"/>
      <c r="G45" s="5"/>
      <c r="H45" s="5"/>
      <c r="I45" s="5"/>
      <c r="J45" s="5"/>
      <c r="K45" s="5"/>
    </row>
    <row r="46" spans="1:11" x14ac:dyDescent="0.3">
      <c r="A46" s="21" t="s">
        <v>911</v>
      </c>
      <c r="B46" s="79">
        <f>IF($B$8&gt;$B$16,3,2)</f>
        <v>2</v>
      </c>
      <c r="C46" s="2" t="s">
        <v>140</v>
      </c>
      <c r="D46" s="2" t="s">
        <v>912</v>
      </c>
    </row>
    <row r="47" spans="1:11" x14ac:dyDescent="0.3">
      <c r="A47" s="21" t="s">
        <v>913</v>
      </c>
      <c r="B47" s="79">
        <f>$B$46-1</f>
        <v>1</v>
      </c>
      <c r="C47" s="2" t="s">
        <v>140</v>
      </c>
      <c r="D47" s="2"/>
    </row>
    <row r="48" spans="1:11" x14ac:dyDescent="0.3">
      <c r="A48" s="21" t="s">
        <v>914</v>
      </c>
      <c r="B48" s="81">
        <f>$B$46*$B$7/12</f>
        <v>28</v>
      </c>
      <c r="C48" s="2" t="s">
        <v>295</v>
      </c>
      <c r="D48" s="2" t="s">
        <v>915</v>
      </c>
    </row>
    <row r="49" spans="1:11" x14ac:dyDescent="0.3">
      <c r="A49" s="21" t="s">
        <v>916</v>
      </c>
      <c r="B49" s="79">
        <f>INT(($B$7-$B$19)/$B$20)+1+IF(MOD($B$7-$B$19,$B$20)&gt;0,1,0)</f>
        <v>5</v>
      </c>
      <c r="C49" s="2" t="s">
        <v>140</v>
      </c>
      <c r="D49" s="2" t="s">
        <v>917</v>
      </c>
    </row>
    <row r="50" spans="1:11" x14ac:dyDescent="0.3">
      <c r="A50" s="21" t="s">
        <v>918</v>
      </c>
      <c r="B50" s="79">
        <f>$B$49*$B$47</f>
        <v>5</v>
      </c>
      <c r="C50" s="2" t="s">
        <v>140</v>
      </c>
      <c r="D50" s="2" t="s">
        <v>919</v>
      </c>
    </row>
    <row r="51" spans="1:11" x14ac:dyDescent="0.3">
      <c r="A51" s="21" t="s">
        <v>920</v>
      </c>
      <c r="B51" s="80">
        <f>($B$8-$B$46*$B$15)/$B$47</f>
        <v>136</v>
      </c>
      <c r="C51" s="2" t="s">
        <v>145</v>
      </c>
      <c r="D51" s="2" t="s">
        <v>921</v>
      </c>
    </row>
    <row r="52" spans="1:11" x14ac:dyDescent="0.3">
      <c r="A52" s="21" t="s">
        <v>922</v>
      </c>
      <c r="B52" s="81">
        <f>$B$50*$B$51/12</f>
        <v>56.666666666666664</v>
      </c>
      <c r="C52" s="2" t="s">
        <v>295</v>
      </c>
      <c r="D52" s="2"/>
    </row>
    <row r="53" spans="1:11" x14ac:dyDescent="0.3">
      <c r="A53" s="21" t="s">
        <v>923</v>
      </c>
      <c r="B53" s="81">
        <f>$B$24*$B$8/12</f>
        <v>48</v>
      </c>
      <c r="C53" s="2" t="s">
        <v>295</v>
      </c>
      <c r="D53" s="2" t="s">
        <v>924</v>
      </c>
    </row>
    <row r="54" spans="1:11" x14ac:dyDescent="0.3">
      <c r="A54" s="21" t="s">
        <v>925</v>
      </c>
      <c r="B54" s="81">
        <f>$B$48*$B$13</f>
        <v>406.84</v>
      </c>
      <c r="C54" s="2" t="s">
        <v>224</v>
      </c>
      <c r="D54" s="2"/>
    </row>
    <row r="55" spans="1:11" x14ac:dyDescent="0.3">
      <c r="A55" s="21" t="s">
        <v>926</v>
      </c>
      <c r="B55" s="81">
        <f>$B$52*$B$18</f>
        <v>691.9</v>
      </c>
      <c r="C55" s="2" t="s">
        <v>224</v>
      </c>
      <c r="D55" s="2"/>
    </row>
    <row r="56" spans="1:11" x14ac:dyDescent="0.3">
      <c r="A56" s="21" t="s">
        <v>927</v>
      </c>
      <c r="B56" s="81">
        <f>$B$53*$B$22</f>
        <v>1073.76</v>
      </c>
      <c r="C56" s="2" t="s">
        <v>224</v>
      </c>
      <c r="D56" s="2"/>
    </row>
    <row r="57" spans="1:11" x14ac:dyDescent="0.3">
      <c r="A57" s="21" t="s">
        <v>928</v>
      </c>
      <c r="B57" s="81">
        <f>$B$26*$B$28</f>
        <v>48</v>
      </c>
      <c r="C57" s="2" t="s">
        <v>224</v>
      </c>
      <c r="D57" s="2"/>
    </row>
    <row r="58" spans="1:11" x14ac:dyDescent="0.3">
      <c r="A58" s="21" t="s">
        <v>929</v>
      </c>
      <c r="B58" s="81">
        <f>$B$54+$B$55+$B$56+$B$57</f>
        <v>2220.5</v>
      </c>
      <c r="C58" s="2" t="s">
        <v>224</v>
      </c>
      <c r="D58" s="2" t="s">
        <v>930</v>
      </c>
    </row>
    <row r="59" spans="1:11" x14ac:dyDescent="0.3">
      <c r="A59" s="21" t="s">
        <v>931</v>
      </c>
      <c r="B59" s="81">
        <f>$B$50*2*2*($B$19+$B$19)/12+$B$24*$B$46*2*($B$23+$B$25)/12+$B$26*2*$B$29/12</f>
        <v>37.333333333333336</v>
      </c>
      <c r="C59" s="2" t="s">
        <v>585</v>
      </c>
      <c r="D59" s="2" t="s">
        <v>932</v>
      </c>
    </row>
    <row r="60" spans="1:11" x14ac:dyDescent="0.3">
      <c r="A60" s="21" t="s">
        <v>933</v>
      </c>
      <c r="B60" s="81">
        <f>$B$48*2*($B$14+$B$15)/12+$B$52*2*($B$19+$B$19)/12+$B$53*2*($B$23+$B$25)/12+$B$26*2*($B$29*($B$25+$B$30)/144)</f>
        <v>239.55555555555557</v>
      </c>
      <c r="C60" s="2" t="s">
        <v>292</v>
      </c>
      <c r="D60" s="2" t="s">
        <v>934</v>
      </c>
    </row>
    <row r="61" spans="1:11" x14ac:dyDescent="0.3">
      <c r="A61" s="21" t="s">
        <v>935</v>
      </c>
      <c r="B61" s="79">
        <f>IF($B$6="galvanized",0,1)</f>
        <v>1</v>
      </c>
      <c r="C61" s="2" t="s">
        <v>566</v>
      </c>
      <c r="D61" s="2" t="s">
        <v>936</v>
      </c>
    </row>
    <row r="63" spans="1:11" x14ac:dyDescent="0.3">
      <c r="A63" s="4" t="s">
        <v>937</v>
      </c>
      <c r="B63" s="5"/>
      <c r="C63" s="5"/>
      <c r="D63" s="5"/>
      <c r="E63" s="5"/>
      <c r="F63" s="5"/>
      <c r="G63" s="5"/>
      <c r="H63" s="5"/>
      <c r="I63" s="5"/>
      <c r="J63" s="5"/>
      <c r="K63" s="5"/>
    </row>
    <row r="64" spans="1:11" x14ac:dyDescent="0.3">
      <c r="A64" s="11" t="s">
        <v>407</v>
      </c>
      <c r="B64" s="11" t="s">
        <v>408</v>
      </c>
      <c r="C64" s="11" t="s">
        <v>409</v>
      </c>
      <c r="D64" s="11" t="s">
        <v>410</v>
      </c>
      <c r="E64" s="11" t="s">
        <v>411</v>
      </c>
      <c r="F64" s="11" t="s">
        <v>412</v>
      </c>
      <c r="G64" s="11" t="s">
        <v>413</v>
      </c>
      <c r="H64" s="11" t="s">
        <v>414</v>
      </c>
      <c r="I64" s="11" t="s">
        <v>415</v>
      </c>
      <c r="J64" s="11" t="s">
        <v>416</v>
      </c>
      <c r="K64" s="11" t="s">
        <v>417</v>
      </c>
    </row>
    <row r="65" spans="1:11" x14ac:dyDescent="0.3">
      <c r="A65" s="84" t="str">
        <f>"Runners "&amp;$B$12&amp;" × "&amp;$B$46&amp;", "&amp;$B$7&amp;""" long"</f>
        <v>Runners HSS 6x4x1/4 × 2, 168" long</v>
      </c>
      <c r="B65" s="87">
        <f>$B$54</f>
        <v>406.84</v>
      </c>
      <c r="C65" s="86" t="s">
        <v>224</v>
      </c>
      <c r="D65" s="84" t="s">
        <v>420</v>
      </c>
      <c r="E65" s="71" t="s">
        <v>421</v>
      </c>
      <c r="F65" s="86" t="s">
        <v>938</v>
      </c>
      <c r="G65" s="89">
        <f>$B$35</f>
        <v>1.85</v>
      </c>
      <c r="H65" s="13">
        <f t="shared" ref="H65:H75" si="0">IF(D65="Material",B65*G65,0)</f>
        <v>752.654</v>
      </c>
      <c r="I65" s="13">
        <f t="shared" ref="I65:I75" si="1">IF(D65="Labor",B65*G65,0)</f>
        <v>0</v>
      </c>
      <c r="J65" s="13">
        <f t="shared" ref="J65:J75" si="2">H65+I65</f>
        <v>752.654</v>
      </c>
      <c r="K65" s="86" t="s">
        <v>939</v>
      </c>
    </row>
    <row r="66" spans="1:11" x14ac:dyDescent="0.3">
      <c r="A66" s="84" t="str">
        <f>"Cross members "&amp;$B$17&amp;" × "&amp;$B$50</f>
        <v>Cross members HSS 4x4x1/4 × 5</v>
      </c>
      <c r="B66" s="87">
        <f>$B$55</f>
        <v>691.9</v>
      </c>
      <c r="C66" s="86" t="s">
        <v>224</v>
      </c>
      <c r="D66" s="84" t="s">
        <v>420</v>
      </c>
      <c r="E66" s="71" t="s">
        <v>421</v>
      </c>
      <c r="F66" s="86" t="s">
        <v>940</v>
      </c>
      <c r="G66" s="89">
        <f>$B$35</f>
        <v>1.85</v>
      </c>
      <c r="H66" s="13">
        <f t="shared" si="0"/>
        <v>1280.0150000000001</v>
      </c>
      <c r="I66" s="13">
        <f t="shared" si="1"/>
        <v>0</v>
      </c>
      <c r="J66" s="13">
        <f t="shared" si="2"/>
        <v>1280.0150000000001</v>
      </c>
      <c r="K66" s="86" t="s">
        <v>941</v>
      </c>
    </row>
    <row r="67" spans="1:11" x14ac:dyDescent="0.3">
      <c r="A67" s="84" t="str">
        <f>"Forklift pockets "&amp;$B$21&amp;" × "&amp;$B$24&amp;" (two pairs)"</f>
        <v>Forklift pockets HSS 8x6x1/4 × 4 (two pairs)</v>
      </c>
      <c r="B67" s="87">
        <f>$B$56</f>
        <v>1073.76</v>
      </c>
      <c r="C67" s="86" t="s">
        <v>224</v>
      </c>
      <c r="D67" s="84" t="s">
        <v>420</v>
      </c>
      <c r="E67" s="71" t="s">
        <v>421</v>
      </c>
      <c r="F67" s="86" t="s">
        <v>942</v>
      </c>
      <c r="G67" s="89">
        <f>$B$35</f>
        <v>1.85</v>
      </c>
      <c r="H67" s="13">
        <f t="shared" si="0"/>
        <v>1986.4560000000001</v>
      </c>
      <c r="I67" s="13">
        <f t="shared" si="1"/>
        <v>0</v>
      </c>
      <c r="J67" s="13">
        <f t="shared" si="2"/>
        <v>1986.4560000000001</v>
      </c>
      <c r="K67" s="86" t="s">
        <v>943</v>
      </c>
    </row>
    <row r="68" spans="1:11" x14ac:dyDescent="0.3">
      <c r="A68" s="84" t="str">
        <f>"Lifting lugs, "&amp;$B$26&amp;" corners (rated "&amp;TEXT($B$27,"#,##0")&amp;" lb each)"</f>
        <v>Lifting lugs, 4 corners (rated 10,000 lb each)</v>
      </c>
      <c r="B68" s="87">
        <f>$B$26</f>
        <v>4</v>
      </c>
      <c r="C68" s="86" t="s">
        <v>140</v>
      </c>
      <c r="D68" s="84" t="s">
        <v>420</v>
      </c>
      <c r="E68" s="71" t="s">
        <v>421</v>
      </c>
      <c r="F68" s="86" t="s">
        <v>944</v>
      </c>
      <c r="G68" s="89">
        <f>$B$36</f>
        <v>45</v>
      </c>
      <c r="H68" s="13">
        <f t="shared" si="0"/>
        <v>180</v>
      </c>
      <c r="I68" s="13">
        <f t="shared" si="1"/>
        <v>0</v>
      </c>
      <c r="J68" s="13">
        <f t="shared" si="2"/>
        <v>180</v>
      </c>
      <c r="K68" s="86" t="s">
        <v>511</v>
      </c>
    </row>
    <row r="69" spans="1:11" x14ac:dyDescent="0.3">
      <c r="A69" s="84" t="s">
        <v>945</v>
      </c>
      <c r="B69" s="87">
        <f>$B$31</f>
        <v>4</v>
      </c>
      <c r="C69" s="86" t="s">
        <v>140</v>
      </c>
      <c r="D69" s="84" t="s">
        <v>420</v>
      </c>
      <c r="E69" s="71" t="s">
        <v>421</v>
      </c>
      <c r="F69" s="86" t="s">
        <v>946</v>
      </c>
      <c r="G69" s="89">
        <f>$B$37</f>
        <v>18</v>
      </c>
      <c r="H69" s="13">
        <f t="shared" si="0"/>
        <v>72</v>
      </c>
      <c r="I69" s="13">
        <f t="shared" si="1"/>
        <v>0</v>
      </c>
      <c r="J69" s="13">
        <f t="shared" si="2"/>
        <v>72</v>
      </c>
      <c r="K69" s="86" t="s">
        <v>511</v>
      </c>
    </row>
    <row r="70" spans="1:11" x14ac:dyDescent="0.3">
      <c r="A70" s="84" t="s">
        <v>947</v>
      </c>
      <c r="B70" s="87">
        <f>$B$59</f>
        <v>37.333333333333336</v>
      </c>
      <c r="C70" s="86" t="s">
        <v>585</v>
      </c>
      <c r="D70" s="84" t="s">
        <v>420</v>
      </c>
      <c r="E70" s="71" t="s">
        <v>421</v>
      </c>
      <c r="F70" s="86" t="s">
        <v>948</v>
      </c>
      <c r="G70" s="89">
        <f>$B$38</f>
        <v>1.4</v>
      </c>
      <c r="H70" s="13">
        <f t="shared" si="0"/>
        <v>52.266666666666666</v>
      </c>
      <c r="I70" s="13">
        <f t="shared" si="1"/>
        <v>0</v>
      </c>
      <c r="J70" s="13">
        <f t="shared" si="2"/>
        <v>52.266666666666666</v>
      </c>
      <c r="K70" s="86" t="s">
        <v>949</v>
      </c>
    </row>
    <row r="71" spans="1:11" x14ac:dyDescent="0.3">
      <c r="A71" s="84" t="s">
        <v>950</v>
      </c>
      <c r="B71" s="85">
        <f>$B$39</f>
        <v>8</v>
      </c>
      <c r="C71" s="86" t="s">
        <v>243</v>
      </c>
      <c r="D71" s="84" t="s">
        <v>31</v>
      </c>
      <c r="E71" s="71" t="s">
        <v>421</v>
      </c>
      <c r="F71" s="86" t="s">
        <v>951</v>
      </c>
      <c r="G71" s="89">
        <f>$B$9</f>
        <v>35</v>
      </c>
      <c r="H71" s="13">
        <f t="shared" si="0"/>
        <v>0</v>
      </c>
      <c r="I71" s="13">
        <f t="shared" si="1"/>
        <v>280</v>
      </c>
      <c r="J71" s="13">
        <f t="shared" si="2"/>
        <v>280</v>
      </c>
      <c r="K71" s="86" t="s">
        <v>517</v>
      </c>
    </row>
    <row r="72" spans="1:11" x14ac:dyDescent="0.3">
      <c r="A72" s="84" t="s">
        <v>952</v>
      </c>
      <c r="B72" s="85">
        <f>$B$59*$B$40</f>
        <v>11.200000000000001</v>
      </c>
      <c r="C72" s="86" t="s">
        <v>243</v>
      </c>
      <c r="D72" s="84" t="s">
        <v>31</v>
      </c>
      <c r="E72" s="71" t="s">
        <v>421</v>
      </c>
      <c r="F72" s="86" t="s">
        <v>953</v>
      </c>
      <c r="G72" s="89">
        <f>$B$9</f>
        <v>35</v>
      </c>
      <c r="H72" s="13">
        <f t="shared" si="0"/>
        <v>0</v>
      </c>
      <c r="I72" s="13">
        <f t="shared" si="1"/>
        <v>392.00000000000006</v>
      </c>
      <c r="J72" s="13">
        <f t="shared" si="2"/>
        <v>392.00000000000006</v>
      </c>
      <c r="K72" s="86" t="s">
        <v>517</v>
      </c>
    </row>
    <row r="73" spans="1:11" x14ac:dyDescent="0.3">
      <c r="A73" s="84" t="s">
        <v>954</v>
      </c>
      <c r="B73" s="85">
        <f>$B$60*$B$61</f>
        <v>239.55555555555557</v>
      </c>
      <c r="C73" s="86" t="s">
        <v>292</v>
      </c>
      <c r="D73" s="84" t="s">
        <v>420</v>
      </c>
      <c r="E73" s="71" t="s">
        <v>421</v>
      </c>
      <c r="F73" s="86" t="s">
        <v>955</v>
      </c>
      <c r="G73" s="89">
        <f>$B$41</f>
        <v>2.75</v>
      </c>
      <c r="H73" s="13">
        <f t="shared" si="0"/>
        <v>658.77777777777783</v>
      </c>
      <c r="I73" s="13">
        <f t="shared" si="1"/>
        <v>0</v>
      </c>
      <c r="J73" s="13">
        <f t="shared" si="2"/>
        <v>658.77777777777783</v>
      </c>
      <c r="K73" s="86" t="s">
        <v>956</v>
      </c>
    </row>
    <row r="74" spans="1:11" x14ac:dyDescent="0.3">
      <c r="A74" s="84" t="s">
        <v>957</v>
      </c>
      <c r="B74" s="85">
        <f>$B$60*$B$42*$B$61</f>
        <v>14.373333333333333</v>
      </c>
      <c r="C74" s="86" t="s">
        <v>243</v>
      </c>
      <c r="D74" s="84" t="s">
        <v>31</v>
      </c>
      <c r="E74" s="71" t="s">
        <v>421</v>
      </c>
      <c r="F74" s="86" t="s">
        <v>958</v>
      </c>
      <c r="G74" s="89">
        <f>$B$9</f>
        <v>35</v>
      </c>
      <c r="H74" s="13">
        <f t="shared" si="0"/>
        <v>0</v>
      </c>
      <c r="I74" s="13">
        <f t="shared" si="1"/>
        <v>503.06666666666666</v>
      </c>
      <c r="J74" s="13">
        <f t="shared" si="2"/>
        <v>503.06666666666666</v>
      </c>
      <c r="K74" s="86" t="s">
        <v>959</v>
      </c>
    </row>
    <row r="75" spans="1:11" x14ac:dyDescent="0.3">
      <c r="A75" s="84" t="s">
        <v>960</v>
      </c>
      <c r="B75" s="85">
        <f>$B$60*(1-$B$61)</f>
        <v>0</v>
      </c>
      <c r="C75" s="86" t="s">
        <v>292</v>
      </c>
      <c r="D75" s="84" t="s">
        <v>420</v>
      </c>
      <c r="E75" s="71" t="s">
        <v>421</v>
      </c>
      <c r="F75" s="86" t="s">
        <v>961</v>
      </c>
      <c r="G75" s="89">
        <f>$B$43</f>
        <v>9.5</v>
      </c>
      <c r="H75" s="13">
        <f t="shared" si="0"/>
        <v>0</v>
      </c>
      <c r="I75" s="13">
        <f t="shared" si="1"/>
        <v>0</v>
      </c>
      <c r="J75" s="13">
        <f t="shared" si="2"/>
        <v>0</v>
      </c>
      <c r="K75" s="86" t="s">
        <v>962</v>
      </c>
    </row>
    <row r="76" spans="1:11" x14ac:dyDescent="0.3">
      <c r="A76" s="16" t="s">
        <v>963</v>
      </c>
      <c r="B76" s="20"/>
      <c r="C76" s="20"/>
      <c r="D76" s="20"/>
      <c r="E76" s="20"/>
      <c r="F76" s="20"/>
      <c r="G76" s="20"/>
      <c r="H76" s="88">
        <f>SUM(H65:H75)</f>
        <v>4982.1694444444438</v>
      </c>
      <c r="I76" s="88">
        <f>SUM(I65:I75)</f>
        <v>1175.0666666666666</v>
      </c>
      <c r="J76" s="88">
        <f>SUM(J65:J75)</f>
        <v>6157.2361111111104</v>
      </c>
      <c r="K76" s="20"/>
    </row>
    <row r="78" spans="1:11" x14ac:dyDescent="0.3">
      <c r="A78" s="90" t="s">
        <v>964</v>
      </c>
      <c r="B78" s="91"/>
      <c r="C78" s="91"/>
      <c r="D78" s="91"/>
      <c r="E78" s="91"/>
      <c r="F78" s="91"/>
      <c r="G78" s="91"/>
      <c r="H78" s="92">
        <f>$H$76</f>
        <v>4982.1694444444438</v>
      </c>
      <c r="I78" s="92">
        <f>$I$76</f>
        <v>1175.0666666666666</v>
      </c>
      <c r="J78" s="92">
        <f>H78+I78</f>
        <v>6157.2361111111104</v>
      </c>
      <c r="K78" s="91"/>
    </row>
    <row r="80" spans="1:11" x14ac:dyDescent="0.3">
      <c r="A80" s="6" t="s">
        <v>965</v>
      </c>
    </row>
    <row r="81" spans="1:11" x14ac:dyDescent="0.3">
      <c r="A81" s="16" t="s">
        <v>542</v>
      </c>
      <c r="B81" s="20"/>
      <c r="C81" s="20"/>
      <c r="D81" s="20"/>
      <c r="E81" s="20"/>
      <c r="F81" s="20"/>
      <c r="G81" s="20"/>
      <c r="H81" s="88">
        <f>SUMIFS(H65:H75,$D$65:$D$75,"Material",$E$65:$E$75,"Plant")</f>
        <v>4982.1694444444438</v>
      </c>
      <c r="I81" s="88">
        <f>SUMIFS(I65:I75,$D$65:$D$75,"Labor",$E$65:$E$75,"Plant")</f>
        <v>1175.0666666666666</v>
      </c>
      <c r="J81" s="88">
        <f>H81+I81</f>
        <v>6157.2361111111104</v>
      </c>
      <c r="K81" s="93" t="s">
        <v>543</v>
      </c>
    </row>
    <row r="82" spans="1:11" x14ac:dyDescent="0.3">
      <c r="A82" s="6" t="s">
        <v>544</v>
      </c>
      <c r="B82" s="94">
        <f>SUMIFS(B65:B75,$D$65:$D$75,"Labor",$E$65:$E$75,"Plant")</f>
        <v>33.573333333333338</v>
      </c>
      <c r="C82" s="2" t="s">
        <v>243</v>
      </c>
      <c r="K82" s="2" t="s">
        <v>545</v>
      </c>
    </row>
    <row r="83" spans="1:11" x14ac:dyDescent="0.3">
      <c r="A83" s="16" t="s">
        <v>546</v>
      </c>
      <c r="B83" s="20"/>
      <c r="C83" s="20"/>
      <c r="D83" s="20"/>
      <c r="E83" s="20"/>
      <c r="F83" s="20"/>
      <c r="G83" s="20"/>
      <c r="H83" s="88">
        <f>SUMIFS(H65:H75,$D$65:$D$75,"Material",$E$65:$E$75,"Site")</f>
        <v>0</v>
      </c>
      <c r="I83" s="88">
        <f>SUMIFS(I65:I75,$D$65:$D$75,"Labor",$E$65:$E$75,"Site")</f>
        <v>0</v>
      </c>
      <c r="J83" s="88">
        <f>H83+I83</f>
        <v>0</v>
      </c>
      <c r="K83" s="93" t="s">
        <v>547</v>
      </c>
    </row>
    <row r="84" spans="1:11" x14ac:dyDescent="0.3">
      <c r="A84" s="2" t="s">
        <v>548</v>
      </c>
      <c r="J84" s="95">
        <f>$J$81+$J$83-$J$78</f>
        <v>0</v>
      </c>
    </row>
    <row r="86" spans="1:11" x14ac:dyDescent="0.3">
      <c r="A86" s="21" t="s">
        <v>966</v>
      </c>
      <c r="J86" s="96">
        <f>Manufacturing!$E$32</f>
        <v>8395.8833333333314</v>
      </c>
    </row>
    <row r="87" spans="1:11" x14ac:dyDescent="0.3">
      <c r="A87" s="21" t="s">
        <v>967</v>
      </c>
      <c r="J87" s="22">
        <f>$J$86/$B$58</f>
        <v>3.7810778353223742</v>
      </c>
    </row>
    <row r="89" spans="1:11" x14ac:dyDescent="0.3">
      <c r="A89" s="4" t="s">
        <v>968</v>
      </c>
      <c r="B89" s="5"/>
      <c r="C89" s="5"/>
      <c r="D89" s="5"/>
      <c r="E89" s="5"/>
      <c r="F89" s="5"/>
      <c r="G89" s="5"/>
      <c r="H89" s="5"/>
      <c r="I89" s="5"/>
      <c r="J89" s="5"/>
      <c r="K89" s="5"/>
    </row>
    <row r="90" spans="1:11" x14ac:dyDescent="0.3">
      <c r="A90" s="21" t="s">
        <v>969</v>
      </c>
      <c r="B90" s="71">
        <v>3</v>
      </c>
      <c r="C90" s="2" t="s">
        <v>970</v>
      </c>
      <c r="D90" s="2" t="s">
        <v>971</v>
      </c>
    </row>
    <row r="91" spans="1:11" x14ac:dyDescent="0.3">
      <c r="A91" s="21" t="s">
        <v>972</v>
      </c>
      <c r="B91" s="71">
        <v>102</v>
      </c>
      <c r="C91" s="2" t="s">
        <v>145</v>
      </c>
      <c r="D91" s="2" t="s">
        <v>973</v>
      </c>
    </row>
    <row r="92" spans="1:11" x14ac:dyDescent="0.3">
      <c r="A92" s="21" t="s">
        <v>974</v>
      </c>
      <c r="B92" s="71">
        <v>162</v>
      </c>
      <c r="C92" s="2" t="s">
        <v>145</v>
      </c>
      <c r="D92" s="2" t="s">
        <v>975</v>
      </c>
    </row>
    <row r="93" spans="1:11" x14ac:dyDescent="0.3">
      <c r="A93" s="21" t="s">
        <v>976</v>
      </c>
      <c r="B93" s="71">
        <v>168</v>
      </c>
      <c r="C93" s="2" t="s">
        <v>145</v>
      </c>
      <c r="D93" s="2" t="s">
        <v>977</v>
      </c>
    </row>
    <row r="94" spans="1:11" x14ac:dyDescent="0.3">
      <c r="A94" s="21" t="s">
        <v>978</v>
      </c>
      <c r="B94" s="7">
        <v>22</v>
      </c>
      <c r="C94" s="2" t="s">
        <v>145</v>
      </c>
      <c r="D94" s="2" t="s">
        <v>979</v>
      </c>
    </row>
    <row r="95" spans="1:11" x14ac:dyDescent="0.3">
      <c r="A95" s="21" t="s">
        <v>980</v>
      </c>
      <c r="B95" s="8">
        <v>0.05</v>
      </c>
      <c r="C95" s="2" t="s">
        <v>227</v>
      </c>
      <c r="D95" s="2" t="s">
        <v>981</v>
      </c>
    </row>
    <row r="96" spans="1:11" x14ac:dyDescent="0.3">
      <c r="A96" s="21" t="s">
        <v>982</v>
      </c>
      <c r="B96" s="83">
        <f>(Walls!$B$190+Walls!$B$191)*27*Walls!$B$61+Walls!$B$192*27*Walls!$B$62+$B$90*Walls!$B$112</f>
        <v>11844.444444444443</v>
      </c>
      <c r="C96" s="2" t="s">
        <v>224</v>
      </c>
      <c r="D96" s="2" t="s">
        <v>983</v>
      </c>
    </row>
    <row r="97" spans="1:4" x14ac:dyDescent="0.3">
      <c r="A97" s="21" t="s">
        <v>984</v>
      </c>
      <c r="B97" s="83">
        <f>Roof!$B$85</f>
        <v>6954.375</v>
      </c>
      <c r="C97" s="2" t="s">
        <v>224</v>
      </c>
      <c r="D97" s="2" t="s">
        <v>985</v>
      </c>
    </row>
    <row r="98" spans="1:4" x14ac:dyDescent="0.3">
      <c r="A98" s="21" t="s">
        <v>986</v>
      </c>
      <c r="B98" s="83">
        <f>'Floor panel'!$B$50</f>
        <v>3857</v>
      </c>
      <c r="C98" s="2" t="s">
        <v>224</v>
      </c>
      <c r="D98" s="2" t="s">
        <v>987</v>
      </c>
    </row>
    <row r="99" spans="1:4" x14ac:dyDescent="0.3">
      <c r="A99" s="21" t="s">
        <v>929</v>
      </c>
      <c r="B99" s="83">
        <f>$B$58</f>
        <v>2220.5</v>
      </c>
      <c r="C99" s="2" t="s">
        <v>224</v>
      </c>
      <c r="D99" s="2"/>
    </row>
    <row r="100" spans="1:4" x14ac:dyDescent="0.3">
      <c r="A100" s="21" t="s">
        <v>988</v>
      </c>
      <c r="B100" s="83">
        <f>$B$32</f>
        <v>1200</v>
      </c>
      <c r="C100" s="2" t="s">
        <v>224</v>
      </c>
      <c r="D100" s="2"/>
    </row>
    <row r="101" spans="1:4" x14ac:dyDescent="0.3">
      <c r="A101" s="21" t="s">
        <v>989</v>
      </c>
      <c r="B101" s="83">
        <f>$B$96+$B$97+$B$98+$B$99+$B$100</f>
        <v>26076.319444444445</v>
      </c>
      <c r="C101" s="2" t="s">
        <v>224</v>
      </c>
      <c r="D101" s="2" t="s">
        <v>990</v>
      </c>
    </row>
    <row r="102" spans="1:4" x14ac:dyDescent="0.3">
      <c r="A102" s="21" t="s">
        <v>91</v>
      </c>
      <c r="B102" s="83">
        <f>$B$101*(1+$B$95)</f>
        <v>27380.135416666668</v>
      </c>
      <c r="C102" s="2" t="s">
        <v>224</v>
      </c>
      <c r="D102" s="2" t="s">
        <v>92</v>
      </c>
    </row>
    <row r="103" spans="1:4" x14ac:dyDescent="0.3">
      <c r="A103" s="21" t="s">
        <v>991</v>
      </c>
      <c r="B103" s="80">
        <f>$B$8</f>
        <v>144</v>
      </c>
      <c r="C103" s="2" t="s">
        <v>145</v>
      </c>
      <c r="D103" s="2"/>
    </row>
    <row r="104" spans="1:4" x14ac:dyDescent="0.3">
      <c r="A104" s="21" t="s">
        <v>992</v>
      </c>
      <c r="B104" s="80">
        <f>Roof!$B$64</f>
        <v>144</v>
      </c>
      <c r="C104" s="2" t="s">
        <v>145</v>
      </c>
      <c r="D104" s="2" t="s">
        <v>993</v>
      </c>
    </row>
    <row r="105" spans="1:4" x14ac:dyDescent="0.3">
      <c r="A105" s="21" t="s">
        <v>994</v>
      </c>
      <c r="B105" s="80">
        <f>MAX($B$103,$B$104)</f>
        <v>144</v>
      </c>
      <c r="C105" s="2" t="s">
        <v>145</v>
      </c>
      <c r="D105" s="2" t="s">
        <v>995</v>
      </c>
    </row>
    <row r="106" spans="1:4" x14ac:dyDescent="0.3">
      <c r="A106" s="21" t="s">
        <v>996</v>
      </c>
      <c r="B106" s="82">
        <f>$B$105/12</f>
        <v>12</v>
      </c>
      <c r="C106" s="2" t="s">
        <v>585</v>
      </c>
      <c r="D106" s="2"/>
    </row>
    <row r="107" spans="1:4" x14ac:dyDescent="0.3">
      <c r="A107" s="21" t="s">
        <v>997</v>
      </c>
      <c r="B107" s="80" t="str">
        <f>IF($B$105&lt;=$B$93,"OK — within "&amp;$B$93&amp;"""","OVER the ceiling — the engine refuses this unit")</f>
        <v>OK — within 168"</v>
      </c>
      <c r="C107" s="2"/>
      <c r="D107" s="2" t="s">
        <v>998</v>
      </c>
    </row>
    <row r="108" spans="1:4" x14ac:dyDescent="0.3">
      <c r="A108" s="21" t="s">
        <v>999</v>
      </c>
      <c r="B108" s="80">
        <f>MAX($B$7,Roof!$B$63)</f>
        <v>180</v>
      </c>
      <c r="C108" s="2" t="s">
        <v>145</v>
      </c>
      <c r="D108" s="2" t="s">
        <v>1000</v>
      </c>
    </row>
    <row r="109" spans="1:4" x14ac:dyDescent="0.3">
      <c r="A109" s="21" t="s">
        <v>996</v>
      </c>
      <c r="B109" s="82">
        <f>$B$108/12</f>
        <v>15</v>
      </c>
      <c r="C109" s="2" t="s">
        <v>585</v>
      </c>
      <c r="D109" s="2"/>
    </row>
    <row r="110" spans="1:4" x14ac:dyDescent="0.3">
      <c r="A110" s="21" t="s">
        <v>1001</v>
      </c>
      <c r="B110" s="80">
        <f>$B$25+Roof!$B$62+Roof!$B$73</f>
        <v>113.5</v>
      </c>
      <c r="C110" s="2" t="s">
        <v>145</v>
      </c>
      <c r="D110" s="2" t="s">
        <v>1002</v>
      </c>
    </row>
    <row r="111" spans="1:4" x14ac:dyDescent="0.3">
      <c r="A111" s="21" t="s">
        <v>1003</v>
      </c>
      <c r="B111" s="80">
        <f>$B$94+$B$110</f>
        <v>135.5</v>
      </c>
      <c r="C111" s="2" t="s">
        <v>145</v>
      </c>
      <c r="D111" s="2" t="s">
        <v>1004</v>
      </c>
    </row>
    <row r="112" spans="1:4" x14ac:dyDescent="0.3">
      <c r="A112" s="21" t="s">
        <v>996</v>
      </c>
      <c r="B112" s="82">
        <f>$B$111/12</f>
        <v>11.291666666666666</v>
      </c>
      <c r="C112" s="2" t="s">
        <v>585</v>
      </c>
      <c r="D112" s="2"/>
    </row>
    <row r="113" spans="1:4" x14ac:dyDescent="0.3">
      <c r="A113" s="21" t="s">
        <v>85</v>
      </c>
      <c r="B113" s="80" t="str">
        <f>IF(AND($B$105&lt;=$B$91,$B$111&lt;=$B$92),"none",IF(AND($B$105&lt;=$B$93,$B$111&lt;=$B$92+6),"permit","pilot"))</f>
        <v>permit</v>
      </c>
      <c r="C113" s="2"/>
      <c r="D113" s="2" t="s">
        <v>1005</v>
      </c>
    </row>
    <row r="114" spans="1:4" x14ac:dyDescent="0.3">
      <c r="A114" s="21" t="s">
        <v>1006</v>
      </c>
      <c r="B114" s="80" t="str">
        <f>IF($B$113="none","Under 8'6"" wide and 13'6"" high on the trailer: a legal load, no permit.",IF($B$113="permit","Over 8'6"" wide but no more than 14' over the roof: an oversize permit, no pilot car (state rules vary).","Over height on the trailer (the width is held to 14' by design): permit plus pilot car(s) — a lower deck brings it back."))</f>
        <v>Over 8'6" wide but no more than 14' over the roof: an oversize permit, no pilot car (state rules vary).</v>
      </c>
      <c r="C114" s="2"/>
      <c r="D114" s="2"/>
    </row>
    <row r="115" spans="1:4" x14ac:dyDescent="0.3">
      <c r="A115" s="21" t="s">
        <v>1007</v>
      </c>
      <c r="B115" s="79">
        <f>MAX(15,ROUNDUP($B$102/2000*2.5/5,0)*5)</f>
        <v>35</v>
      </c>
      <c r="C115" s="2" t="s">
        <v>1008</v>
      </c>
      <c r="D115" s="2" t="s">
        <v>1009</v>
      </c>
    </row>
    <row r="116" spans="1:4" x14ac:dyDescent="0.3">
      <c r="A116" s="21" t="s">
        <v>1010</v>
      </c>
      <c r="B116" s="83">
        <f>ROUNDUP($B$102/1000,0)*1000</f>
        <v>28000</v>
      </c>
      <c r="C116" s="2" t="s">
        <v>224</v>
      </c>
      <c r="D116" s="2" t="s">
        <v>1011</v>
      </c>
    </row>
    <row r="117" spans="1:4" x14ac:dyDescent="0.3">
      <c r="A117" s="21" t="s">
        <v>93</v>
      </c>
      <c r="B117" s="80" t="str">
        <f>"Four-point pick on the corner lugs with a spreader bar (lugs rated "&amp;TEXT($B$27,"#,##0")&amp;" lb each); ~"&amp;TEXT($B$102,"#,##0")&amp;" lb with rigging — plan on a "&amp;$B$115&amp;"-ton-class hydraulic crane at a 25–30 ft radius (placeholder rule: 2.5 x the load), or the two pairs of fork pockets with a forklift rated well over "&amp;TEXT($B$116,"#,##0")&amp;" lb on firm ground."</f>
        <v>Four-point pick on the corner lugs with a spreader bar (lugs rated 10,000 lb each); ~27,380 lb with rigging — plan on a 35-ton-class hydraulic crane at a 25–30 ft radius (placeholder rule: 2.5 x the load), or the two pairs of fork pockets with a forklift rated well over 28,000 lb on firm ground.</v>
      </c>
      <c r="C117" s="2"/>
      <c r="D117" s="2" t="s">
        <v>1012</v>
      </c>
    </row>
    <row r="119" spans="1:4" x14ac:dyDescent="0.3">
      <c r="A119" s="2" t="s">
        <v>1013</v>
      </c>
    </row>
  </sheetData>
  <mergeCells count="1">
    <mergeCell ref="A2:J2"/>
  </mergeCells>
  <dataValidations count="1">
    <dataValidation type="list" allowBlank="1" sqref="E65:E75"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4"/>
  <sheetViews>
    <sheetView showGridLines="0" workbookViewId="0">
      <pane ySplit="4" topLeftCell="A5" activePane="bottomLeft" state="frozen"/>
      <selection pane="bottomLeft"/>
    </sheetView>
  </sheetViews>
  <sheetFormatPr defaultRowHeight="14.4" x14ac:dyDescent="0.3"/>
  <cols>
    <col min="1" max="1" width="58" customWidth="1"/>
    <col min="2" max="6" width="16" customWidth="1"/>
    <col min="7" max="7" width="84" customWidth="1"/>
  </cols>
  <sheetData>
    <row r="1" spans="1:10" ht="17.399999999999999" x14ac:dyDescent="0.3">
      <c r="A1" s="57" t="s">
        <v>1014</v>
      </c>
    </row>
    <row r="2" spans="1:10" ht="58.05" customHeight="1" x14ac:dyDescent="0.3">
      <c r="A2" s="121" t="s">
        <v>1015</v>
      </c>
      <c r="B2" s="122"/>
      <c r="C2" s="122"/>
      <c r="D2" s="122"/>
      <c r="E2" s="122"/>
      <c r="F2" s="122"/>
      <c r="G2" s="122"/>
      <c r="H2" s="122"/>
      <c r="I2" s="122"/>
      <c r="J2" s="122"/>
    </row>
    <row r="3" spans="1:10" x14ac:dyDescent="0.3">
      <c r="A3" s="3" t="s">
        <v>123</v>
      </c>
    </row>
    <row r="5" spans="1:10" x14ac:dyDescent="0.3">
      <c r="A5" s="4" t="s">
        <v>1016</v>
      </c>
      <c r="B5" s="5"/>
      <c r="C5" s="5"/>
      <c r="D5" s="5"/>
      <c r="E5" s="5"/>
      <c r="F5" s="5"/>
      <c r="G5" s="5"/>
    </row>
    <row r="6" spans="1:10" x14ac:dyDescent="0.3">
      <c r="A6" s="21" t="s">
        <v>1017</v>
      </c>
      <c r="B6" s="104">
        <v>3000</v>
      </c>
      <c r="C6" s="2" t="s">
        <v>1018</v>
      </c>
      <c r="D6" s="2" t="s">
        <v>1019</v>
      </c>
    </row>
    <row r="7" spans="1:10" x14ac:dyDescent="0.3">
      <c r="A7" s="21" t="s">
        <v>1020</v>
      </c>
      <c r="B7" s="104">
        <v>2500</v>
      </c>
      <c r="C7" s="2" t="s">
        <v>1018</v>
      </c>
      <c r="D7" s="2" t="s">
        <v>1019</v>
      </c>
    </row>
    <row r="8" spans="1:10" x14ac:dyDescent="0.3">
      <c r="A8" s="21" t="s">
        <v>1021</v>
      </c>
      <c r="B8" s="104">
        <v>1500</v>
      </c>
      <c r="C8" s="2" t="s">
        <v>1018</v>
      </c>
      <c r="D8" s="2" t="s">
        <v>1019</v>
      </c>
    </row>
    <row r="9" spans="1:10" x14ac:dyDescent="0.3">
      <c r="A9" s="21" t="s">
        <v>1022</v>
      </c>
      <c r="B9" s="104">
        <v>5000</v>
      </c>
      <c r="C9" s="2" t="s">
        <v>1018</v>
      </c>
      <c r="D9" s="2" t="s">
        <v>1019</v>
      </c>
    </row>
    <row r="10" spans="1:10" x14ac:dyDescent="0.3">
      <c r="A10" s="21" t="s">
        <v>1023</v>
      </c>
      <c r="B10" s="105">
        <f>$B$6+$B$7+$B$8+$B$9</f>
        <v>12000</v>
      </c>
      <c r="C10" s="2" t="s">
        <v>1018</v>
      </c>
      <c r="D10" s="2" t="s">
        <v>1024</v>
      </c>
    </row>
    <row r="11" spans="1:10" x14ac:dyDescent="0.3">
      <c r="A11" s="21" t="s">
        <v>1025</v>
      </c>
      <c r="B11" s="106">
        <v>3</v>
      </c>
      <c r="C11" s="2" t="s">
        <v>1026</v>
      </c>
      <c r="D11" s="2" t="s">
        <v>775</v>
      </c>
    </row>
    <row r="12" spans="1:10" x14ac:dyDescent="0.3">
      <c r="A12" s="21" t="s">
        <v>1027</v>
      </c>
      <c r="B12" s="106">
        <v>160</v>
      </c>
      <c r="C12" s="2" t="s">
        <v>1028</v>
      </c>
      <c r="D12" s="2" t="s">
        <v>1029</v>
      </c>
    </row>
    <row r="13" spans="1:10" x14ac:dyDescent="0.3">
      <c r="A13" s="21" t="s">
        <v>1030</v>
      </c>
      <c r="B13" s="83">
        <f>$B$11*$B$12</f>
        <v>480</v>
      </c>
      <c r="C13" s="2" t="s">
        <v>1031</v>
      </c>
      <c r="D13" s="2" t="s">
        <v>1032</v>
      </c>
    </row>
    <row r="14" spans="1:10" x14ac:dyDescent="0.3">
      <c r="A14" s="21" t="s">
        <v>1033</v>
      </c>
      <c r="B14" s="89">
        <f>$B$10/$B$13</f>
        <v>25</v>
      </c>
      <c r="C14" s="2" t="s">
        <v>1034</v>
      </c>
      <c r="D14" s="2" t="s">
        <v>1035</v>
      </c>
    </row>
    <row r="15" spans="1:10" x14ac:dyDescent="0.3">
      <c r="A15" s="21" t="s">
        <v>1036</v>
      </c>
      <c r="B15" s="8">
        <v>0.2</v>
      </c>
      <c r="C15" s="2" t="s">
        <v>227</v>
      </c>
      <c r="D15" s="2" t="s">
        <v>1037</v>
      </c>
    </row>
    <row r="17" spans="1:7" x14ac:dyDescent="0.3">
      <c r="A17" s="4" t="s">
        <v>1038</v>
      </c>
      <c r="B17" s="5"/>
      <c r="C17" s="5"/>
      <c r="D17" s="5"/>
      <c r="E17" s="5"/>
      <c r="F17" s="5"/>
      <c r="G17" s="5"/>
    </row>
    <row r="18" spans="1:7" x14ac:dyDescent="0.3">
      <c r="A18" s="21" t="s">
        <v>1039</v>
      </c>
      <c r="B18" s="73">
        <f>Walls!$B$86</f>
        <v>14</v>
      </c>
      <c r="C18" s="2" t="s">
        <v>140</v>
      </c>
      <c r="D18" s="2" t="s">
        <v>570</v>
      </c>
    </row>
    <row r="19" spans="1:7" x14ac:dyDescent="0.3">
      <c r="A19" s="21" t="s">
        <v>1040</v>
      </c>
      <c r="B19" s="73">
        <f>Walls!$B$203</f>
        <v>2</v>
      </c>
      <c r="C19" s="2" t="s">
        <v>140</v>
      </c>
      <c r="D19" s="2" t="s">
        <v>570</v>
      </c>
    </row>
    <row r="20" spans="1:7" x14ac:dyDescent="0.3">
      <c r="A20" s="21" t="s">
        <v>1041</v>
      </c>
      <c r="B20" s="107">
        <f>Roof!$B$70</f>
        <v>180</v>
      </c>
      <c r="C20" s="2" t="s">
        <v>292</v>
      </c>
      <c r="D20" s="2" t="s">
        <v>1042</v>
      </c>
    </row>
    <row r="21" spans="1:7" x14ac:dyDescent="0.3">
      <c r="A21" s="21" t="s">
        <v>739</v>
      </c>
      <c r="B21" s="107">
        <f>'Floor panel'!$B$8</f>
        <v>168</v>
      </c>
      <c r="C21" s="2" t="s">
        <v>292</v>
      </c>
      <c r="D21" s="2" t="s">
        <v>1043</v>
      </c>
    </row>
    <row r="22" spans="1:7" x14ac:dyDescent="0.3">
      <c r="A22" s="21" t="s">
        <v>929</v>
      </c>
      <c r="B22" s="108">
        <f>Skid!$B$58</f>
        <v>2220.5</v>
      </c>
      <c r="C22" s="2" t="s">
        <v>224</v>
      </c>
      <c r="D22" s="2" t="s">
        <v>1044</v>
      </c>
    </row>
    <row r="24" spans="1:7" x14ac:dyDescent="0.3">
      <c r="A24" s="11" t="s">
        <v>1045</v>
      </c>
      <c r="B24" s="11" t="s">
        <v>1046</v>
      </c>
      <c r="C24" s="11" t="s">
        <v>1047</v>
      </c>
      <c r="D24" s="11" t="s">
        <v>1048</v>
      </c>
      <c r="E24" s="11" t="s">
        <v>1049</v>
      </c>
      <c r="F24" s="11" t="s">
        <v>1050</v>
      </c>
      <c r="G24" s="11" t="s">
        <v>561</v>
      </c>
    </row>
    <row r="25" spans="1:7" x14ac:dyDescent="0.3">
      <c r="A25" s="21" t="s">
        <v>1051</v>
      </c>
      <c r="B25" s="12">
        <f>Walls!$H$273</f>
        <v>4598.3748336272783</v>
      </c>
      <c r="C25" s="12">
        <f>Roof!$H$113</f>
        <v>1952.028888888889</v>
      </c>
      <c r="D25" s="12">
        <f>'Floor panel'!$H$74</f>
        <v>2049.5656296296293</v>
      </c>
      <c r="E25" s="12">
        <f>Skid!$H$81</f>
        <v>4982.1694444444438</v>
      </c>
      <c r="F25" s="105">
        <f>B25+C25+D25+E25</f>
        <v>13582.13879659024</v>
      </c>
      <c r="G25" s="2" t="s">
        <v>1052</v>
      </c>
    </row>
    <row r="26" spans="1:7" x14ac:dyDescent="0.3">
      <c r="A26" s="21" t="s">
        <v>1053</v>
      </c>
      <c r="B26" s="12">
        <f>Walls!$I$273</f>
        <v>2998.5246913580249</v>
      </c>
      <c r="C26" s="12">
        <f>Roof!$I$113</f>
        <v>1153.5416666666665</v>
      </c>
      <c r="D26" s="12">
        <f>'Floor panel'!$I$74</f>
        <v>1374.1388888888889</v>
      </c>
      <c r="E26" s="12">
        <f>Skid!$I$81</f>
        <v>1175.0666666666666</v>
      </c>
      <c r="F26" s="105">
        <f>B26+C26+D26+E26</f>
        <v>6701.2719135802463</v>
      </c>
      <c r="G26" s="2" t="s">
        <v>1054</v>
      </c>
    </row>
    <row r="27" spans="1:7" x14ac:dyDescent="0.3">
      <c r="A27" s="21" t="s">
        <v>1055</v>
      </c>
      <c r="B27" s="107">
        <f>Walls!$B$274</f>
        <v>85.672134038800706</v>
      </c>
      <c r="C27" s="107">
        <f>Roof!$B$114</f>
        <v>32.958333333333329</v>
      </c>
      <c r="D27" s="107">
        <f>'Floor panel'!$B$75</f>
        <v>39.261111111111113</v>
      </c>
      <c r="E27" s="107">
        <f>Skid!$B$82</f>
        <v>33.573333333333338</v>
      </c>
      <c r="F27" s="81">
        <f>B27+C27+D27+E27</f>
        <v>191.46491181657848</v>
      </c>
      <c r="G27" s="2" t="s">
        <v>1056</v>
      </c>
    </row>
    <row r="28" spans="1:7" x14ac:dyDescent="0.3">
      <c r="A28" s="21" t="s">
        <v>1057</v>
      </c>
      <c r="B28" s="105">
        <f>$B$27*$B$14</f>
        <v>2141.8033509700176</v>
      </c>
      <c r="C28" s="105">
        <f>$C$27*$B$14</f>
        <v>823.95833333333326</v>
      </c>
      <c r="D28" s="105">
        <f>$D$27*$B$14</f>
        <v>981.52777777777783</v>
      </c>
      <c r="E28" s="105">
        <f>$E$27*$B$14</f>
        <v>839.33333333333348</v>
      </c>
      <c r="F28" s="105">
        <f>B28+C28+D28+E28</f>
        <v>4786.6227954144624</v>
      </c>
      <c r="G28" s="2" t="s">
        <v>1058</v>
      </c>
    </row>
    <row r="29" spans="1:7" x14ac:dyDescent="0.3">
      <c r="A29" s="6" t="s">
        <v>1059</v>
      </c>
      <c r="B29" s="69">
        <f>$B$25+$B$26+$B$28</f>
        <v>9738.7028759553214</v>
      </c>
      <c r="C29" s="69">
        <f>$C$25+$C$26+$C$28</f>
        <v>3929.528888888889</v>
      </c>
      <c r="D29" s="69">
        <f>$D$25+$D$26+$D$28</f>
        <v>4405.2322962962953</v>
      </c>
      <c r="E29" s="69">
        <f>$E$25+$E$26+$E$28</f>
        <v>6996.5694444444434</v>
      </c>
      <c r="F29" s="69">
        <f>B29+C29+D29+E29</f>
        <v>25070.03350558495</v>
      </c>
      <c r="G29" s="2" t="s">
        <v>1060</v>
      </c>
    </row>
    <row r="30" spans="1:7" x14ac:dyDescent="0.3">
      <c r="A30" s="21" t="s">
        <v>1061</v>
      </c>
      <c r="B30" s="109">
        <f>$B$15</f>
        <v>0.2</v>
      </c>
      <c r="C30" s="109">
        <f>$B$15</f>
        <v>0.2</v>
      </c>
      <c r="D30" s="109">
        <f>$B$15</f>
        <v>0.2</v>
      </c>
      <c r="E30" s="109">
        <f>$B$15</f>
        <v>0.2</v>
      </c>
      <c r="G30" s="2" t="s">
        <v>1062</v>
      </c>
    </row>
    <row r="31" spans="1:7" x14ac:dyDescent="0.3">
      <c r="A31" s="21" t="s">
        <v>1063</v>
      </c>
      <c r="B31" s="105">
        <f>$B$29*$B$30</f>
        <v>1947.7405751910644</v>
      </c>
      <c r="C31" s="105">
        <f>$C$29*$C$30</f>
        <v>785.90577777777787</v>
      </c>
      <c r="D31" s="105">
        <f>$D$29*$D$30</f>
        <v>881.04645925925911</v>
      </c>
      <c r="E31" s="105">
        <f>$E$29*$E$30</f>
        <v>1399.3138888888889</v>
      </c>
      <c r="F31" s="105">
        <f>B31+C31+D31+E31</f>
        <v>5014.0067011169904</v>
      </c>
      <c r="G31" s="2" t="s">
        <v>1064</v>
      </c>
    </row>
    <row r="32" spans="1:7" x14ac:dyDescent="0.3">
      <c r="A32" s="110" t="s">
        <v>1065</v>
      </c>
      <c r="B32" s="111">
        <f>$B$29+$B$31</f>
        <v>11686.443451146386</v>
      </c>
      <c r="C32" s="111">
        <f>$C$29+$C$31</f>
        <v>4715.434666666667</v>
      </c>
      <c r="D32" s="111">
        <f>$D$29+$D$31</f>
        <v>5286.2787555555542</v>
      </c>
      <c r="E32" s="111">
        <f>$E$29+$E$31</f>
        <v>8395.8833333333314</v>
      </c>
      <c r="F32" s="111">
        <f>B32+C32+D32+E32</f>
        <v>30084.040206701939</v>
      </c>
      <c r="G32" s="29" t="s">
        <v>1066</v>
      </c>
    </row>
    <row r="33" spans="1:7" x14ac:dyDescent="0.3">
      <c r="A33" s="21" t="s">
        <v>1067</v>
      </c>
      <c r="B33" s="89">
        <f>$B$32/$B$18</f>
        <v>834.74596079617038</v>
      </c>
      <c r="C33" s="89">
        <f>$C$32/$B$20</f>
        <v>26.196859259259263</v>
      </c>
      <c r="D33" s="89">
        <f>IF($B$21=0,0,$D$32/$B$21)</f>
        <v>31.465944973544964</v>
      </c>
      <c r="E33" s="89">
        <f>IF($B$22=0,0,$E$32/$B$22)</f>
        <v>3.7810778353223742</v>
      </c>
      <c r="G33" s="2" t="s">
        <v>1068</v>
      </c>
    </row>
    <row r="34" spans="1:7" x14ac:dyDescent="0.3">
      <c r="A34" s="21" t="s">
        <v>1069</v>
      </c>
      <c r="B34" s="89">
        <f>$B$29/$B$18</f>
        <v>695.62163399680867</v>
      </c>
      <c r="C34" s="89">
        <f>$C$29/$B$20</f>
        <v>21.830716049382715</v>
      </c>
      <c r="D34" s="89">
        <f>IF($B$21=0,0,$D$29/$B$21)</f>
        <v>26.221620811287472</v>
      </c>
      <c r="E34" s="89">
        <f>IF($B$22=0,0,$E$29/$B$22)</f>
        <v>3.1508981961019784</v>
      </c>
      <c r="G34" s="2" t="s">
        <v>1070</v>
      </c>
    </row>
    <row r="36" spans="1:7" x14ac:dyDescent="0.3">
      <c r="A36" s="11" t="s">
        <v>1071</v>
      </c>
      <c r="B36" s="11" t="s">
        <v>1046</v>
      </c>
      <c r="C36" s="11" t="s">
        <v>1047</v>
      </c>
      <c r="D36" s="11" t="s">
        <v>1048</v>
      </c>
      <c r="E36" s="11" t="s">
        <v>1049</v>
      </c>
      <c r="F36" s="11" t="s">
        <v>1050</v>
      </c>
      <c r="G36" s="11" t="s">
        <v>561</v>
      </c>
    </row>
    <row r="37" spans="1:7" x14ac:dyDescent="0.3">
      <c r="A37" s="21" t="s">
        <v>1072</v>
      </c>
      <c r="B37" s="12">
        <f>Walls!$H$275</f>
        <v>1651.5976296296294</v>
      </c>
      <c r="C37" s="12">
        <f>Roof!$H$115</f>
        <v>3662.6388888888887</v>
      </c>
      <c r="D37" s="12">
        <f>'Floor panel'!$H$76</f>
        <v>0</v>
      </c>
      <c r="E37" s="12">
        <f>Skid!$H$83</f>
        <v>0</v>
      </c>
      <c r="F37" s="105">
        <f>B37+C37+D37+E37</f>
        <v>5314.2365185185181</v>
      </c>
      <c r="G37" s="2" t="s">
        <v>1073</v>
      </c>
    </row>
    <row r="38" spans="1:7" x14ac:dyDescent="0.3">
      <c r="A38" s="21" t="s">
        <v>1074</v>
      </c>
      <c r="B38" s="12">
        <f>Walls!$I$275</f>
        <v>2605.3935185185182</v>
      </c>
      <c r="C38" s="12">
        <f>Roof!$I$115</f>
        <v>1349.9305555555557</v>
      </c>
      <c r="D38" s="12">
        <f>'Floor panel'!$I$76</f>
        <v>0</v>
      </c>
      <c r="E38" s="12">
        <f>Skid!$I$83</f>
        <v>0</v>
      </c>
      <c r="F38" s="105">
        <f>B38+C38+D38+E38</f>
        <v>3955.3240740740739</v>
      </c>
      <c r="G38" s="2" t="s">
        <v>1075</v>
      </c>
    </row>
    <row r="39" spans="1:7" x14ac:dyDescent="0.3">
      <c r="A39" s="6" t="s">
        <v>1076</v>
      </c>
      <c r="B39" s="69">
        <f>$B$37+$B$38</f>
        <v>4256.9911481481477</v>
      </c>
      <c r="C39" s="69">
        <f>$C$37+$C$38</f>
        <v>5012.5694444444443</v>
      </c>
      <c r="D39" s="69">
        <f>$D$37+$D$38</f>
        <v>0</v>
      </c>
      <c r="E39" s="69">
        <f>$E$37+$E$38</f>
        <v>0</v>
      </c>
      <c r="F39" s="69">
        <f>B39+C39+D39+E39</f>
        <v>9269.560592592592</v>
      </c>
      <c r="G39" s="2"/>
    </row>
    <row r="40" spans="1:7" x14ac:dyDescent="0.3">
      <c r="A40" s="21" t="s">
        <v>1077</v>
      </c>
      <c r="B40" s="112">
        <f>Walls!$J$276</f>
        <v>0</v>
      </c>
      <c r="C40" s="112">
        <f>Roof!$J$116</f>
        <v>0</v>
      </c>
      <c r="D40" s="112">
        <f>'Floor panel'!$J$77</f>
        <v>0</v>
      </c>
      <c r="E40" s="112">
        <f>Skid!$J$84</f>
        <v>0</v>
      </c>
      <c r="G40" s="2" t="s">
        <v>1078</v>
      </c>
    </row>
    <row r="42" spans="1:7" x14ac:dyDescent="0.3">
      <c r="A42" s="4" t="s">
        <v>1079</v>
      </c>
      <c r="B42" s="5"/>
      <c r="C42" s="5"/>
      <c r="D42" s="5"/>
      <c r="E42" s="5"/>
      <c r="F42" s="5"/>
      <c r="G42" s="5"/>
    </row>
    <row r="43" spans="1:7" x14ac:dyDescent="0.3">
      <c r="A43" s="21" t="s">
        <v>1080</v>
      </c>
      <c r="B43" s="81">
        <f>$F$27</f>
        <v>191.46491181657848</v>
      </c>
      <c r="C43" s="2" t="s">
        <v>243</v>
      </c>
      <c r="D43" s="2" t="s">
        <v>1081</v>
      </c>
    </row>
    <row r="44" spans="1:7" x14ac:dyDescent="0.3">
      <c r="A44" s="21" t="s">
        <v>1082</v>
      </c>
      <c r="B44" s="113">
        <f>$B$13/$B$43</f>
        <v>2.5069867655951255</v>
      </c>
      <c r="C44" s="2" t="s">
        <v>1083</v>
      </c>
      <c r="D44" s="2" t="s">
        <v>1084</v>
      </c>
    </row>
    <row r="45" spans="1:7" x14ac:dyDescent="0.3">
      <c r="A45" s="21" t="s">
        <v>1085</v>
      </c>
      <c r="B45" s="82">
        <f>$B$43/($B$13/4.33)</f>
        <v>1.7271730586787184</v>
      </c>
      <c r="C45" s="2" t="s">
        <v>1086</v>
      </c>
      <c r="D45" s="2" t="s">
        <v>1087</v>
      </c>
    </row>
    <row r="46" spans="1:7" x14ac:dyDescent="0.3">
      <c r="A46" s="21" t="s">
        <v>1088</v>
      </c>
      <c r="B46" s="105">
        <f>$B$44*$F$32</f>
        <v>75420.290653833406</v>
      </c>
      <c r="C46" s="2" t="s">
        <v>1018</v>
      </c>
      <c r="D46" s="2" t="s">
        <v>1089</v>
      </c>
    </row>
    <row r="47" spans="1:7" x14ac:dyDescent="0.3">
      <c r="A47" s="21" t="s">
        <v>1090</v>
      </c>
      <c r="B47" s="105">
        <f>$B$44*($F$25+$F$26)</f>
        <v>50850.242211527839</v>
      </c>
      <c r="C47" s="2" t="s">
        <v>1018</v>
      </c>
      <c r="D47" s="2" t="s">
        <v>1091</v>
      </c>
    </row>
    <row r="48" spans="1:7" x14ac:dyDescent="0.3">
      <c r="A48" s="21" t="s">
        <v>1092</v>
      </c>
      <c r="B48" s="105">
        <f>$B$44*$F$28</f>
        <v>12000.000000000002</v>
      </c>
      <c r="C48" s="2" t="s">
        <v>1018</v>
      </c>
      <c r="D48" s="2" t="s">
        <v>1093</v>
      </c>
    </row>
    <row r="49" spans="1:7" x14ac:dyDescent="0.3">
      <c r="A49" s="21" t="s">
        <v>1094</v>
      </c>
      <c r="B49" s="105">
        <f>$B$47+$B$48</f>
        <v>62850.242211527839</v>
      </c>
      <c r="C49" s="2" t="s">
        <v>1018</v>
      </c>
      <c r="D49" s="2"/>
    </row>
    <row r="50" spans="1:7" x14ac:dyDescent="0.3">
      <c r="A50" s="21" t="s">
        <v>1095</v>
      </c>
      <c r="B50" s="105">
        <f>$B$46-$B$49</f>
        <v>12570.048442305568</v>
      </c>
      <c r="C50" s="2" t="s">
        <v>1018</v>
      </c>
      <c r="D50" s="2" t="s">
        <v>1096</v>
      </c>
    </row>
    <row r="52" spans="1:7" ht="30" customHeight="1" x14ac:dyDescent="0.3">
      <c r="A52" s="121" t="s">
        <v>1097</v>
      </c>
      <c r="B52" s="122"/>
      <c r="C52" s="122"/>
      <c r="D52" s="122"/>
      <c r="E52" s="122"/>
      <c r="F52" s="122"/>
      <c r="G52" s="122"/>
    </row>
    <row r="53" spans="1:7" ht="30" customHeight="1" x14ac:dyDescent="0.3">
      <c r="A53" s="121" t="s">
        <v>1098</v>
      </c>
      <c r="B53" s="122"/>
      <c r="C53" s="122"/>
      <c r="D53" s="122"/>
      <c r="E53" s="122"/>
      <c r="F53" s="122"/>
      <c r="G53" s="122"/>
    </row>
    <row r="54" spans="1:7" ht="30" customHeight="1" x14ac:dyDescent="0.3">
      <c r="A54" s="121" t="s">
        <v>1099</v>
      </c>
      <c r="B54" s="122"/>
      <c r="C54" s="122"/>
      <c r="D54" s="122"/>
      <c r="E54" s="122"/>
      <c r="F54" s="122"/>
      <c r="G54" s="122"/>
    </row>
  </sheetData>
  <mergeCells count="4">
    <mergeCell ref="A54:G54"/>
    <mergeCell ref="A53:G53"/>
    <mergeCell ref="A52:G52"/>
    <mergeCell ref="A2:J2"/>
  </mergeCell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1"/>
  <sheetViews>
    <sheetView showGridLines="0" workbookViewId="0">
      <pane ySplit="4" topLeftCell="A5" activePane="bottomLeft" state="frozen"/>
      <selection pane="bottomLeft"/>
    </sheetView>
  </sheetViews>
  <sheetFormatPr defaultRowHeight="14.4" x14ac:dyDescent="0.3"/>
  <cols>
    <col min="1" max="1" width="56" customWidth="1"/>
    <col min="2" max="3" width="11" customWidth="1"/>
    <col min="4" max="4" width="15" customWidth="1"/>
    <col min="5" max="6" width="13" customWidth="1"/>
    <col min="7" max="7" width="15" customWidth="1"/>
    <col min="8" max="9" width="13" customWidth="1"/>
    <col min="10" max="10" width="74" customWidth="1"/>
  </cols>
  <sheetData>
    <row r="1" spans="1:10" ht="17.399999999999999" x14ac:dyDescent="0.3">
      <c r="A1" s="57" t="s">
        <v>1100</v>
      </c>
    </row>
    <row r="2" spans="1:10" ht="58.05" customHeight="1" x14ac:dyDescent="0.3">
      <c r="A2" s="121" t="s">
        <v>1101</v>
      </c>
      <c r="B2" s="122"/>
      <c r="C2" s="122"/>
      <c r="D2" s="122"/>
      <c r="E2" s="122"/>
      <c r="F2" s="122"/>
      <c r="G2" s="122"/>
      <c r="H2" s="122"/>
      <c r="I2" s="122"/>
      <c r="J2" s="122"/>
    </row>
    <row r="3" spans="1:10" x14ac:dyDescent="0.3">
      <c r="A3" s="3" t="s">
        <v>123</v>
      </c>
    </row>
    <row r="5" spans="1:10" x14ac:dyDescent="0.3">
      <c r="A5" s="4" t="s">
        <v>1102</v>
      </c>
      <c r="B5" s="5"/>
      <c r="C5" s="5"/>
      <c r="D5" s="5"/>
      <c r="E5" s="5"/>
      <c r="F5" s="5"/>
      <c r="G5" s="5"/>
      <c r="H5" s="5"/>
      <c r="I5" s="5"/>
      <c r="J5" s="5"/>
    </row>
    <row r="6" spans="1:10" x14ac:dyDescent="0.3">
      <c r="A6" s="21" t="s">
        <v>239</v>
      </c>
      <c r="B6" s="30">
        <f>Walls!$B$74</f>
        <v>35</v>
      </c>
      <c r="C6" s="2" t="s">
        <v>240</v>
      </c>
      <c r="D6" s="2" t="s">
        <v>1103</v>
      </c>
    </row>
    <row r="7" spans="1:10" x14ac:dyDescent="0.3">
      <c r="A7" s="21" t="s">
        <v>1104</v>
      </c>
      <c r="B7" s="72" t="str">
        <f>Summary!$B$6</f>
        <v>tile</v>
      </c>
      <c r="C7" s="2"/>
      <c r="D7" s="2" t="s">
        <v>1105</v>
      </c>
    </row>
    <row r="8" spans="1:10" x14ac:dyDescent="0.3">
      <c r="A8" s="21" t="s">
        <v>1106</v>
      </c>
      <c r="B8" s="7" t="s">
        <v>1107</v>
      </c>
      <c r="C8" s="2"/>
      <c r="D8" s="2" t="s">
        <v>1108</v>
      </c>
    </row>
    <row r="9" spans="1:10" x14ac:dyDescent="0.3">
      <c r="A9" s="21" t="s">
        <v>1109</v>
      </c>
      <c r="B9" s="9">
        <v>1</v>
      </c>
      <c r="C9" s="2" t="s">
        <v>566</v>
      </c>
      <c r="D9" s="2" t="s">
        <v>1110</v>
      </c>
    </row>
    <row r="10" spans="1:10" x14ac:dyDescent="0.3">
      <c r="A10" s="21" t="s">
        <v>1111</v>
      </c>
      <c r="B10" s="74">
        <v>150</v>
      </c>
      <c r="C10" s="2" t="s">
        <v>1112</v>
      </c>
      <c r="D10" s="2" t="s">
        <v>1113</v>
      </c>
    </row>
    <row r="11" spans="1:10" x14ac:dyDescent="0.3">
      <c r="A11" s="21" t="s">
        <v>1114</v>
      </c>
      <c r="B11" s="72" t="str">
        <f>Skid!$B$113</f>
        <v>permit</v>
      </c>
      <c r="C11" s="2"/>
      <c r="D11" s="2" t="s">
        <v>1115</v>
      </c>
    </row>
    <row r="12" spans="1:10" x14ac:dyDescent="0.3">
      <c r="A12" s="21" t="s">
        <v>23</v>
      </c>
      <c r="B12" s="73">
        <f>Summary!$B$11</f>
        <v>1</v>
      </c>
      <c r="C12" s="2" t="s">
        <v>192</v>
      </c>
      <c r="D12" s="2" t="s">
        <v>1116</v>
      </c>
    </row>
    <row r="13" spans="1:10" x14ac:dyDescent="0.3">
      <c r="A13" s="21" t="s">
        <v>1117</v>
      </c>
      <c r="B13" s="73">
        <f>Summary!$B$12</f>
        <v>1</v>
      </c>
      <c r="C13" s="2" t="s">
        <v>192</v>
      </c>
      <c r="D13" s="2" t="s">
        <v>1116</v>
      </c>
    </row>
    <row r="14" spans="1:10" x14ac:dyDescent="0.3">
      <c r="A14" s="21" t="s">
        <v>76</v>
      </c>
      <c r="B14" s="107">
        <f>Walls!$B$106</f>
        <v>121.84027777777777</v>
      </c>
      <c r="C14" s="2" t="s">
        <v>292</v>
      </c>
      <c r="D14" s="2" t="s">
        <v>570</v>
      </c>
    </row>
    <row r="15" spans="1:10" x14ac:dyDescent="0.3">
      <c r="A15" s="21" t="s">
        <v>1118</v>
      </c>
      <c r="B15" s="107">
        <f>Walls!$B$107</f>
        <v>52</v>
      </c>
      <c r="C15" s="2" t="s">
        <v>295</v>
      </c>
      <c r="D15" s="2" t="s">
        <v>570</v>
      </c>
    </row>
    <row r="16" spans="1:10" x14ac:dyDescent="0.3">
      <c r="A16" s="21" t="s">
        <v>1119</v>
      </c>
      <c r="B16" s="73">
        <f>Walls!$B$183</f>
        <v>2</v>
      </c>
      <c r="C16" s="2" t="s">
        <v>140</v>
      </c>
      <c r="D16" s="2" t="s">
        <v>570</v>
      </c>
    </row>
    <row r="17" spans="1:10" x14ac:dyDescent="0.3">
      <c r="A17" s="21" t="s">
        <v>1120</v>
      </c>
      <c r="B17" s="73">
        <f>Walls!$B$184</f>
        <v>1</v>
      </c>
      <c r="C17" s="2" t="s">
        <v>140</v>
      </c>
      <c r="D17" s="2" t="s">
        <v>570</v>
      </c>
    </row>
    <row r="18" spans="1:10" x14ac:dyDescent="0.3">
      <c r="A18" s="21" t="s">
        <v>370</v>
      </c>
      <c r="B18" s="73">
        <f>Walls!$B$185</f>
        <v>3</v>
      </c>
      <c r="C18" s="2" t="s">
        <v>140</v>
      </c>
      <c r="D18" s="2" t="s">
        <v>570</v>
      </c>
    </row>
    <row r="19" spans="1:10" x14ac:dyDescent="0.3">
      <c r="A19" s="21" t="s">
        <v>1121</v>
      </c>
      <c r="B19" s="107">
        <f>Walls!$B$112</f>
        <v>341.66666666666663</v>
      </c>
      <c r="C19" s="2" t="s">
        <v>292</v>
      </c>
      <c r="D19" s="2" t="s">
        <v>1122</v>
      </c>
    </row>
    <row r="20" spans="1:10" x14ac:dyDescent="0.3">
      <c r="A20" s="21" t="s">
        <v>1123</v>
      </c>
      <c r="B20" s="107">
        <f>Roof!$B$70</f>
        <v>180</v>
      </c>
      <c r="C20" s="2" t="s">
        <v>292</v>
      </c>
      <c r="D20" s="2" t="s">
        <v>1042</v>
      </c>
    </row>
    <row r="21" spans="1:10" x14ac:dyDescent="0.3">
      <c r="A21" s="21" t="s">
        <v>1039</v>
      </c>
      <c r="B21" s="73">
        <f>Walls!$B$86</f>
        <v>14</v>
      </c>
      <c r="C21" s="2" t="s">
        <v>140</v>
      </c>
      <c r="D21" s="2" t="s">
        <v>570</v>
      </c>
    </row>
    <row r="22" spans="1:10" x14ac:dyDescent="0.3">
      <c r="A22" s="21" t="s">
        <v>1124</v>
      </c>
      <c r="B22" s="79">
        <f>$B$16*$B$9</f>
        <v>2</v>
      </c>
      <c r="C22" s="2" t="s">
        <v>140</v>
      </c>
      <c r="D22" s="2" t="s">
        <v>1125</v>
      </c>
    </row>
    <row r="24" spans="1:10" x14ac:dyDescent="0.3">
      <c r="A24" s="4" t="s">
        <v>1126</v>
      </c>
      <c r="B24" s="5"/>
      <c r="C24" s="5"/>
      <c r="D24" s="5"/>
      <c r="E24" s="5"/>
      <c r="F24" s="5"/>
      <c r="G24" s="5"/>
      <c r="H24" s="5"/>
      <c r="I24" s="5"/>
      <c r="J24" s="5"/>
    </row>
    <row r="25" spans="1:10" x14ac:dyDescent="0.3">
      <c r="A25" s="21" t="s">
        <v>1127</v>
      </c>
      <c r="B25" s="71">
        <v>2</v>
      </c>
      <c r="C25" s="2"/>
      <c r="D25" s="2" t="s">
        <v>1128</v>
      </c>
    </row>
    <row r="26" spans="1:10" x14ac:dyDescent="0.3">
      <c r="A26" s="21" t="s">
        <v>1129</v>
      </c>
      <c r="B26" s="71">
        <v>1</v>
      </c>
      <c r="C26" s="2"/>
      <c r="D26" s="2" t="s">
        <v>1128</v>
      </c>
    </row>
    <row r="27" spans="1:10" x14ac:dyDescent="0.3">
      <c r="A27" s="21" t="s">
        <v>1130</v>
      </c>
      <c r="B27" s="71">
        <v>182.34</v>
      </c>
      <c r="C27" s="2"/>
      <c r="D27" s="2" t="s">
        <v>1128</v>
      </c>
    </row>
    <row r="28" spans="1:10" x14ac:dyDescent="0.3">
      <c r="A28" s="21" t="s">
        <v>1131</v>
      </c>
      <c r="B28" s="71">
        <v>64</v>
      </c>
      <c r="C28" s="2"/>
      <c r="D28" s="2" t="s">
        <v>1128</v>
      </c>
    </row>
    <row r="29" spans="1:10" x14ac:dyDescent="0.3">
      <c r="A29" s="21" t="s">
        <v>1132</v>
      </c>
      <c r="B29" s="71">
        <v>3</v>
      </c>
      <c r="C29" s="2"/>
      <c r="D29" s="2" t="s">
        <v>1128</v>
      </c>
    </row>
    <row r="30" spans="1:10" x14ac:dyDescent="0.3">
      <c r="A30" s="21" t="s">
        <v>1133</v>
      </c>
      <c r="B30" s="71">
        <v>2</v>
      </c>
      <c r="C30" s="2"/>
      <c r="D30" s="2" t="s">
        <v>1128</v>
      </c>
    </row>
    <row r="31" spans="1:10" x14ac:dyDescent="0.3">
      <c r="A31" s="21" t="s">
        <v>1134</v>
      </c>
      <c r="B31" s="71">
        <v>5</v>
      </c>
      <c r="C31" s="2"/>
      <c r="D31" s="2" t="s">
        <v>1128</v>
      </c>
    </row>
    <row r="32" spans="1:10" x14ac:dyDescent="0.3">
      <c r="A32" s="21" t="s">
        <v>1135</v>
      </c>
      <c r="B32" s="71">
        <v>415</v>
      </c>
      <c r="C32" s="2"/>
      <c r="D32" s="2" t="s">
        <v>1128</v>
      </c>
    </row>
    <row r="33" spans="1:10" x14ac:dyDescent="0.3">
      <c r="A33" s="21" t="s">
        <v>1136</v>
      </c>
      <c r="B33" s="71">
        <v>252</v>
      </c>
      <c r="C33" s="2"/>
      <c r="D33" s="2" t="s">
        <v>1128</v>
      </c>
    </row>
    <row r="34" spans="1:10" x14ac:dyDescent="0.3">
      <c r="A34" s="21" t="s">
        <v>1137</v>
      </c>
      <c r="B34" s="71">
        <v>16</v>
      </c>
      <c r="C34" s="2"/>
      <c r="D34" s="2" t="s">
        <v>1128</v>
      </c>
    </row>
    <row r="35" spans="1:10" x14ac:dyDescent="0.3">
      <c r="A35" s="21" t="s">
        <v>1138</v>
      </c>
      <c r="B35" s="71">
        <v>3</v>
      </c>
      <c r="C35" s="2"/>
      <c r="D35" s="2" t="s">
        <v>1128</v>
      </c>
    </row>
    <row r="36" spans="1:10" x14ac:dyDescent="0.3">
      <c r="A36" s="21" t="s">
        <v>1139</v>
      </c>
      <c r="B36" s="71">
        <v>150</v>
      </c>
      <c r="C36" s="2"/>
      <c r="D36" s="2" t="s">
        <v>1128</v>
      </c>
    </row>
    <row r="38" spans="1:10" x14ac:dyDescent="0.3">
      <c r="A38" s="4" t="s">
        <v>1140</v>
      </c>
      <c r="B38" s="5"/>
      <c r="C38" s="5"/>
      <c r="D38" s="5"/>
      <c r="E38" s="5"/>
      <c r="F38" s="5"/>
      <c r="G38" s="5"/>
      <c r="H38" s="5"/>
      <c r="I38" s="5"/>
      <c r="J38" s="5"/>
    </row>
    <row r="39" spans="1:10" x14ac:dyDescent="0.3">
      <c r="A39" s="21" t="s">
        <v>1141</v>
      </c>
      <c r="B39" s="98">
        <f>$B$12/$B$25</f>
        <v>0.5</v>
      </c>
      <c r="C39" s="2"/>
      <c r="D39" s="2"/>
    </row>
    <row r="40" spans="1:10" x14ac:dyDescent="0.3">
      <c r="A40" s="21" t="s">
        <v>1142</v>
      </c>
      <c r="B40" s="98">
        <f>$B$13/$B$26</f>
        <v>1</v>
      </c>
      <c r="C40" s="2"/>
      <c r="D40" s="2"/>
    </row>
    <row r="41" spans="1:10" x14ac:dyDescent="0.3">
      <c r="A41" s="21" t="s">
        <v>1143</v>
      </c>
      <c r="B41" s="98">
        <f>$B$14/$B$27</f>
        <v>0.66820378292079508</v>
      </c>
      <c r="C41" s="2"/>
      <c r="D41" s="2"/>
    </row>
    <row r="42" spans="1:10" x14ac:dyDescent="0.3">
      <c r="A42" s="21" t="s">
        <v>1144</v>
      </c>
      <c r="B42" s="98">
        <f>$B$15/$B$28</f>
        <v>0.8125</v>
      </c>
      <c r="C42" s="2"/>
      <c r="D42" s="2"/>
    </row>
    <row r="43" spans="1:10" x14ac:dyDescent="0.3">
      <c r="A43" s="21" t="s">
        <v>1145</v>
      </c>
      <c r="B43" s="98">
        <f>$B$16/$B$29</f>
        <v>0.66666666666666663</v>
      </c>
      <c r="C43" s="2"/>
      <c r="D43" s="2"/>
    </row>
    <row r="44" spans="1:10" x14ac:dyDescent="0.3">
      <c r="A44" s="21" t="s">
        <v>1146</v>
      </c>
      <c r="B44" s="98">
        <f>$B$17/$B$30</f>
        <v>0.5</v>
      </c>
      <c r="C44" s="2"/>
      <c r="D44" s="2"/>
    </row>
    <row r="45" spans="1:10" x14ac:dyDescent="0.3">
      <c r="A45" s="21" t="s">
        <v>1147</v>
      </c>
      <c r="B45" s="98">
        <f>$B$18/$B$31</f>
        <v>0.6</v>
      </c>
      <c r="C45" s="2"/>
      <c r="D45" s="2"/>
    </row>
    <row r="46" spans="1:10" x14ac:dyDescent="0.3">
      <c r="A46" s="21" t="s">
        <v>1148</v>
      </c>
      <c r="B46" s="98">
        <f>$B$19/$B$32</f>
        <v>0.82329317269076296</v>
      </c>
      <c r="C46" s="2"/>
      <c r="D46" s="2"/>
    </row>
    <row r="47" spans="1:10" x14ac:dyDescent="0.3">
      <c r="A47" s="21" t="s">
        <v>1149</v>
      </c>
      <c r="B47" s="98">
        <f>$B$20/$B$33</f>
        <v>0.7142857142857143</v>
      </c>
      <c r="C47" s="2"/>
      <c r="D47" s="2"/>
    </row>
    <row r="48" spans="1:10" x14ac:dyDescent="0.3">
      <c r="A48" s="21" t="s">
        <v>1150</v>
      </c>
      <c r="B48" s="98">
        <f>$B$21/$B$34</f>
        <v>0.875</v>
      </c>
      <c r="C48" s="2"/>
      <c r="D48" s="2"/>
    </row>
    <row r="49" spans="1:10" x14ac:dyDescent="0.3">
      <c r="A49" s="21" t="s">
        <v>1151</v>
      </c>
      <c r="B49" s="98">
        <f>$B$22/$B$35</f>
        <v>0.66666666666666663</v>
      </c>
      <c r="C49" s="2"/>
      <c r="D49" s="2"/>
    </row>
    <row r="50" spans="1:10" x14ac:dyDescent="0.3">
      <c r="A50" s="21" t="s">
        <v>1152</v>
      </c>
      <c r="B50" s="98">
        <f>$B$10/$B$36</f>
        <v>1</v>
      </c>
      <c r="C50" s="2"/>
      <c r="D50" s="2"/>
    </row>
    <row r="52" spans="1:10" x14ac:dyDescent="0.3">
      <c r="A52" s="4" t="s">
        <v>1153</v>
      </c>
      <c r="B52" s="5"/>
      <c r="C52" s="5"/>
      <c r="D52" s="5"/>
      <c r="E52" s="5"/>
      <c r="F52" s="5"/>
      <c r="G52" s="5"/>
      <c r="H52" s="5"/>
      <c r="I52" s="5"/>
      <c r="J52" s="5"/>
    </row>
    <row r="53" spans="1:10" x14ac:dyDescent="0.3">
      <c r="A53" s="11" t="s">
        <v>407</v>
      </c>
      <c r="B53" s="11" t="s">
        <v>408</v>
      </c>
      <c r="C53" s="11" t="s">
        <v>409</v>
      </c>
      <c r="D53" s="11" t="s">
        <v>1154</v>
      </c>
      <c r="E53" s="11" t="s">
        <v>1155</v>
      </c>
      <c r="F53" s="11" t="s">
        <v>414</v>
      </c>
      <c r="G53" s="11" t="s">
        <v>1156</v>
      </c>
      <c r="H53" s="11" t="s">
        <v>415</v>
      </c>
      <c r="I53" s="11" t="s">
        <v>416</v>
      </c>
      <c r="J53" s="11" t="s">
        <v>35</v>
      </c>
    </row>
    <row r="54" spans="1:10" x14ac:dyDescent="0.3">
      <c r="A54" s="84" t="s">
        <v>1157</v>
      </c>
      <c r="B54" s="108">
        <f>ROUND(2*$B$39,0)</f>
        <v>1</v>
      </c>
      <c r="C54" s="86" t="s">
        <v>140</v>
      </c>
      <c r="D54" s="86" t="s">
        <v>192</v>
      </c>
      <c r="E54" s="75">
        <v>260</v>
      </c>
      <c r="F54" s="13">
        <f t="shared" ref="F54:F62" si="0">B54*E54</f>
        <v>260</v>
      </c>
      <c r="G54" s="114">
        <v>3</v>
      </c>
      <c r="H54" s="13">
        <f t="shared" ref="H54:H62" si="1">B54*G54*$B$6</f>
        <v>105</v>
      </c>
      <c r="I54" s="13">
        <f t="shared" ref="I54:I62" si="2">F54+H54</f>
        <v>365</v>
      </c>
      <c r="J54" s="86" t="s">
        <v>1158</v>
      </c>
    </row>
    <row r="55" spans="1:10" x14ac:dyDescent="0.3">
      <c r="A55" s="84" t="s">
        <v>1159</v>
      </c>
      <c r="B55" s="108">
        <f>ROUND(2*$B$39,0)</f>
        <v>1</v>
      </c>
      <c r="C55" s="86" t="s">
        <v>140</v>
      </c>
      <c r="D55" s="86" t="s">
        <v>192</v>
      </c>
      <c r="E55" s="75">
        <v>300</v>
      </c>
      <c r="F55" s="13">
        <f t="shared" si="0"/>
        <v>300</v>
      </c>
      <c r="G55" s="114">
        <v>1.5</v>
      </c>
      <c r="H55" s="13">
        <f t="shared" si="1"/>
        <v>52.5</v>
      </c>
      <c r="I55" s="13">
        <f t="shared" si="2"/>
        <v>352.5</v>
      </c>
      <c r="J55" s="86" t="s">
        <v>1160</v>
      </c>
    </row>
    <row r="56" spans="1:10" x14ac:dyDescent="0.3">
      <c r="A56" s="84" t="s">
        <v>1161</v>
      </c>
      <c r="B56" s="108">
        <f>ROUND(2*$B$39,0)</f>
        <v>1</v>
      </c>
      <c r="C56" s="86" t="s">
        <v>140</v>
      </c>
      <c r="D56" s="86" t="s">
        <v>192</v>
      </c>
      <c r="E56" s="75">
        <v>380</v>
      </c>
      <c r="F56" s="13">
        <f t="shared" si="0"/>
        <v>380</v>
      </c>
      <c r="G56" s="114">
        <v>2</v>
      </c>
      <c r="H56" s="13">
        <f t="shared" si="1"/>
        <v>70</v>
      </c>
      <c r="I56" s="13">
        <f t="shared" si="2"/>
        <v>450</v>
      </c>
      <c r="J56" s="86" t="s">
        <v>1162</v>
      </c>
    </row>
    <row r="57" spans="1:10" x14ac:dyDescent="0.3">
      <c r="A57" s="84" t="s">
        <v>1163</v>
      </c>
      <c r="B57" s="108">
        <f>ROUND(2*$B$39,0)</f>
        <v>1</v>
      </c>
      <c r="C57" s="86" t="s">
        <v>140</v>
      </c>
      <c r="D57" s="86" t="s">
        <v>192</v>
      </c>
      <c r="E57" s="75">
        <v>95</v>
      </c>
      <c r="F57" s="13">
        <f t="shared" si="0"/>
        <v>95</v>
      </c>
      <c r="G57" s="114">
        <v>1</v>
      </c>
      <c r="H57" s="13">
        <f t="shared" si="1"/>
        <v>35</v>
      </c>
      <c r="I57" s="13">
        <f t="shared" si="2"/>
        <v>130</v>
      </c>
      <c r="J57" s="86" t="s">
        <v>1164</v>
      </c>
    </row>
    <row r="58" spans="1:10" x14ac:dyDescent="0.3">
      <c r="A58" s="84" t="s">
        <v>1165</v>
      </c>
      <c r="B58" s="108">
        <f>ROUND(2*$B$39,0)</f>
        <v>1</v>
      </c>
      <c r="C58" s="86" t="s">
        <v>192</v>
      </c>
      <c r="D58" s="86" t="s">
        <v>192</v>
      </c>
      <c r="E58" s="75">
        <v>520</v>
      </c>
      <c r="F58" s="13">
        <f t="shared" si="0"/>
        <v>520</v>
      </c>
      <c r="G58" s="114">
        <v>10</v>
      </c>
      <c r="H58" s="13">
        <f t="shared" si="1"/>
        <v>350</v>
      </c>
      <c r="I58" s="13">
        <f t="shared" si="2"/>
        <v>870</v>
      </c>
      <c r="J58" s="86" t="s">
        <v>1166</v>
      </c>
    </row>
    <row r="59" spans="1:10" x14ac:dyDescent="0.3">
      <c r="A59" s="84" t="s">
        <v>1167</v>
      </c>
      <c r="B59" s="103">
        <f>1</f>
        <v>1</v>
      </c>
      <c r="C59" s="86" t="s">
        <v>140</v>
      </c>
      <c r="D59" s="86" t="s">
        <v>1168</v>
      </c>
      <c r="E59" s="75">
        <v>1400</v>
      </c>
      <c r="F59" s="13">
        <f t="shared" si="0"/>
        <v>1400</v>
      </c>
      <c r="G59" s="114">
        <v>6</v>
      </c>
      <c r="H59" s="13">
        <f t="shared" si="1"/>
        <v>210</v>
      </c>
      <c r="I59" s="13">
        <f t="shared" si="2"/>
        <v>1610</v>
      </c>
      <c r="J59" s="86" t="s">
        <v>1169</v>
      </c>
    </row>
    <row r="60" spans="1:10" x14ac:dyDescent="0.3">
      <c r="A60" s="84" t="s">
        <v>1170</v>
      </c>
      <c r="B60" s="103">
        <f>1</f>
        <v>1</v>
      </c>
      <c r="C60" s="86" t="s">
        <v>140</v>
      </c>
      <c r="D60" s="86" t="s">
        <v>1168</v>
      </c>
      <c r="E60" s="75">
        <v>65</v>
      </c>
      <c r="F60" s="13">
        <f t="shared" si="0"/>
        <v>65</v>
      </c>
      <c r="G60" s="114">
        <v>1.5</v>
      </c>
      <c r="H60" s="13">
        <f t="shared" si="1"/>
        <v>52.5</v>
      </c>
      <c r="I60" s="13">
        <f t="shared" si="2"/>
        <v>117.5</v>
      </c>
      <c r="J60" s="86" t="s">
        <v>1171</v>
      </c>
    </row>
    <row r="61" spans="1:10" x14ac:dyDescent="0.3">
      <c r="A61" s="84" t="s">
        <v>1172</v>
      </c>
      <c r="B61" s="103">
        <f>1</f>
        <v>1</v>
      </c>
      <c r="C61" s="86" t="s">
        <v>140</v>
      </c>
      <c r="D61" s="86" t="s">
        <v>1168</v>
      </c>
      <c r="E61" s="75">
        <v>240</v>
      </c>
      <c r="F61" s="13">
        <f t="shared" si="0"/>
        <v>240</v>
      </c>
      <c r="G61" s="114">
        <v>3</v>
      </c>
      <c r="H61" s="13">
        <f t="shared" si="1"/>
        <v>105</v>
      </c>
      <c r="I61" s="13">
        <f t="shared" si="2"/>
        <v>345</v>
      </c>
      <c r="J61" s="86" t="s">
        <v>1173</v>
      </c>
    </row>
    <row r="62" spans="1:10" x14ac:dyDescent="0.3">
      <c r="A62" s="84" t="s">
        <v>1174</v>
      </c>
      <c r="B62" s="107">
        <f>1*$B$39</f>
        <v>0.5</v>
      </c>
      <c r="C62" s="86" t="s">
        <v>1175</v>
      </c>
      <c r="D62" s="86" t="s">
        <v>192</v>
      </c>
      <c r="E62" s="75">
        <v>180</v>
      </c>
      <c r="F62" s="13">
        <f t="shared" si="0"/>
        <v>90</v>
      </c>
      <c r="G62" s="114">
        <v>2</v>
      </c>
      <c r="H62" s="13">
        <f t="shared" si="1"/>
        <v>35</v>
      </c>
      <c r="I62" s="13">
        <f t="shared" si="2"/>
        <v>125</v>
      </c>
      <c r="J62" s="86" t="s">
        <v>1176</v>
      </c>
    </row>
    <row r="63" spans="1:10" x14ac:dyDescent="0.3">
      <c r="A63" s="16" t="s">
        <v>1177</v>
      </c>
      <c r="B63" s="20"/>
      <c r="C63" s="20"/>
      <c r="D63" s="20"/>
      <c r="E63" s="20"/>
      <c r="F63" s="88">
        <f>SUM(F54:F62)</f>
        <v>3350</v>
      </c>
      <c r="G63" s="20"/>
      <c r="H63" s="88">
        <f>SUM(H54:H62)</f>
        <v>1015</v>
      </c>
      <c r="I63" s="88">
        <f>SUM(I54:I62)</f>
        <v>4365</v>
      </c>
      <c r="J63" s="20"/>
    </row>
    <row r="65" spans="1:10" x14ac:dyDescent="0.3">
      <c r="A65" s="4" t="s">
        <v>1178</v>
      </c>
      <c r="B65" s="5"/>
      <c r="C65" s="5"/>
      <c r="D65" s="5"/>
      <c r="E65" s="5"/>
      <c r="F65" s="5"/>
      <c r="G65" s="5"/>
      <c r="H65" s="5"/>
      <c r="I65" s="5"/>
      <c r="J65" s="5"/>
    </row>
    <row r="66" spans="1:10" x14ac:dyDescent="0.3">
      <c r="A66" s="11" t="s">
        <v>407</v>
      </c>
      <c r="B66" s="11" t="s">
        <v>408</v>
      </c>
      <c r="C66" s="11" t="s">
        <v>409</v>
      </c>
      <c r="D66" s="11" t="s">
        <v>1154</v>
      </c>
      <c r="E66" s="11" t="s">
        <v>1155</v>
      </c>
      <c r="F66" s="11" t="s">
        <v>414</v>
      </c>
      <c r="G66" s="11" t="s">
        <v>1156</v>
      </c>
      <c r="H66" s="11" t="s">
        <v>415</v>
      </c>
      <c r="I66" s="11" t="s">
        <v>416</v>
      </c>
      <c r="J66" s="11" t="s">
        <v>35</v>
      </c>
    </row>
    <row r="67" spans="1:10" x14ac:dyDescent="0.3">
      <c r="A67" s="84" t="s">
        <v>1179</v>
      </c>
      <c r="B67" s="103">
        <f>1</f>
        <v>1</v>
      </c>
      <c r="C67" s="86" t="s">
        <v>140</v>
      </c>
      <c r="D67" s="86" t="s">
        <v>1168</v>
      </c>
      <c r="E67" s="75">
        <v>900</v>
      </c>
      <c r="F67" s="13">
        <f t="shared" ref="F67:F74" si="3">B67*E67</f>
        <v>900</v>
      </c>
      <c r="G67" s="114">
        <v>8</v>
      </c>
      <c r="H67" s="13">
        <f t="shared" ref="H67:H74" si="4">B67*G67*$B$6</f>
        <v>280</v>
      </c>
      <c r="I67" s="13">
        <f t="shared" ref="I67:I74" si="5">F67+H67</f>
        <v>1180</v>
      </c>
      <c r="J67" s="86" t="s">
        <v>1180</v>
      </c>
    </row>
    <row r="68" spans="1:10" x14ac:dyDescent="0.3">
      <c r="A68" s="84" t="s">
        <v>1181</v>
      </c>
      <c r="B68" s="108">
        <f>ROUND(6*$B$39,0)</f>
        <v>3</v>
      </c>
      <c r="C68" s="86" t="s">
        <v>1182</v>
      </c>
      <c r="D68" s="86" t="s">
        <v>192</v>
      </c>
      <c r="E68" s="75">
        <v>95</v>
      </c>
      <c r="F68" s="13">
        <f t="shared" si="3"/>
        <v>285</v>
      </c>
      <c r="G68" s="114">
        <v>2</v>
      </c>
      <c r="H68" s="13">
        <f t="shared" si="4"/>
        <v>210</v>
      </c>
      <c r="I68" s="13">
        <f t="shared" si="5"/>
        <v>495</v>
      </c>
      <c r="J68" s="86" t="s">
        <v>1183</v>
      </c>
    </row>
    <row r="69" spans="1:10" x14ac:dyDescent="0.3">
      <c r="A69" s="84" t="s">
        <v>1184</v>
      </c>
      <c r="B69" s="103">
        <f>3</f>
        <v>3</v>
      </c>
      <c r="C69" s="86" t="s">
        <v>1182</v>
      </c>
      <c r="D69" s="86" t="s">
        <v>1168</v>
      </c>
      <c r="E69" s="75">
        <v>130</v>
      </c>
      <c r="F69" s="13">
        <f t="shared" si="3"/>
        <v>390</v>
      </c>
      <c r="G69" s="114">
        <v>2.5</v>
      </c>
      <c r="H69" s="13">
        <f t="shared" si="4"/>
        <v>262.5</v>
      </c>
      <c r="I69" s="13">
        <f t="shared" si="5"/>
        <v>652.5</v>
      </c>
      <c r="J69" s="86" t="s">
        <v>1185</v>
      </c>
    </row>
    <row r="70" spans="1:10" x14ac:dyDescent="0.3">
      <c r="A70" s="84" t="s">
        <v>1186</v>
      </c>
      <c r="B70" s="108">
        <f>ROUND(3*$B$39,0)</f>
        <v>2</v>
      </c>
      <c r="C70" s="86" t="s">
        <v>140</v>
      </c>
      <c r="D70" s="86" t="s">
        <v>192</v>
      </c>
      <c r="E70" s="75">
        <v>35</v>
      </c>
      <c r="F70" s="13">
        <f t="shared" si="3"/>
        <v>70</v>
      </c>
      <c r="G70" s="114">
        <v>0.5</v>
      </c>
      <c r="H70" s="13">
        <f t="shared" si="4"/>
        <v>35</v>
      </c>
      <c r="I70" s="13">
        <f t="shared" si="5"/>
        <v>105</v>
      </c>
      <c r="J70" s="86" t="s">
        <v>1187</v>
      </c>
    </row>
    <row r="71" spans="1:10" x14ac:dyDescent="0.3">
      <c r="A71" s="84" t="s">
        <v>1188</v>
      </c>
      <c r="B71" s="108">
        <f>ROUND(2*$B$39,0)</f>
        <v>1</v>
      </c>
      <c r="C71" s="86" t="s">
        <v>140</v>
      </c>
      <c r="D71" s="86" t="s">
        <v>192</v>
      </c>
      <c r="E71" s="75">
        <v>160</v>
      </c>
      <c r="F71" s="13">
        <f t="shared" si="3"/>
        <v>160</v>
      </c>
      <c r="G71" s="114">
        <v>2</v>
      </c>
      <c r="H71" s="13">
        <f t="shared" si="4"/>
        <v>70</v>
      </c>
      <c r="I71" s="13">
        <f t="shared" si="5"/>
        <v>230</v>
      </c>
      <c r="J71" s="86" t="s">
        <v>1189</v>
      </c>
    </row>
    <row r="72" spans="1:10" x14ac:dyDescent="0.3">
      <c r="A72" s="84" t="s">
        <v>1190</v>
      </c>
      <c r="B72" s="108">
        <f>ROUND(3*$B$39,0)</f>
        <v>2</v>
      </c>
      <c r="C72" s="86" t="s">
        <v>140</v>
      </c>
      <c r="D72" s="86" t="s">
        <v>192</v>
      </c>
      <c r="E72" s="75">
        <v>70</v>
      </c>
      <c r="F72" s="13">
        <f t="shared" si="3"/>
        <v>140</v>
      </c>
      <c r="G72" s="114">
        <v>1</v>
      </c>
      <c r="H72" s="13">
        <f t="shared" si="4"/>
        <v>70</v>
      </c>
      <c r="I72" s="13">
        <f t="shared" si="5"/>
        <v>210</v>
      </c>
      <c r="J72" s="86" t="s">
        <v>1191</v>
      </c>
    </row>
    <row r="73" spans="1:10" x14ac:dyDescent="0.3">
      <c r="A73" s="84" t="s">
        <v>1192</v>
      </c>
      <c r="B73" s="108">
        <f>ROUND(3*$B$49,0)</f>
        <v>2</v>
      </c>
      <c r="C73" s="86" t="s">
        <v>140</v>
      </c>
      <c r="D73" s="86" t="s">
        <v>1193</v>
      </c>
      <c r="E73" s="75">
        <v>95</v>
      </c>
      <c r="F73" s="13">
        <f t="shared" si="3"/>
        <v>190</v>
      </c>
      <c r="G73" s="114">
        <v>1</v>
      </c>
      <c r="H73" s="13">
        <f t="shared" si="4"/>
        <v>70</v>
      </c>
      <c r="I73" s="13">
        <f t="shared" si="5"/>
        <v>260</v>
      </c>
      <c r="J73" s="86" t="s">
        <v>1194</v>
      </c>
    </row>
    <row r="74" spans="1:10" x14ac:dyDescent="0.3">
      <c r="A74" s="84" t="s">
        <v>1195</v>
      </c>
      <c r="B74" s="108">
        <f>ROUND(2*$B$39,0)*IF($B$8="yes",1,0)</f>
        <v>1</v>
      </c>
      <c r="C74" s="86" t="s">
        <v>140</v>
      </c>
      <c r="D74" s="86" t="s">
        <v>192</v>
      </c>
      <c r="E74" s="75">
        <v>220</v>
      </c>
      <c r="F74" s="13">
        <f t="shared" si="3"/>
        <v>220</v>
      </c>
      <c r="G74" s="114">
        <v>2</v>
      </c>
      <c r="H74" s="13">
        <f t="shared" si="4"/>
        <v>70</v>
      </c>
      <c r="I74" s="13">
        <f t="shared" si="5"/>
        <v>290</v>
      </c>
      <c r="J74" s="86" t="s">
        <v>1196</v>
      </c>
    </row>
    <row r="75" spans="1:10" x14ac:dyDescent="0.3">
      <c r="A75" s="16" t="s">
        <v>1197</v>
      </c>
      <c r="B75" s="20"/>
      <c r="C75" s="20"/>
      <c r="D75" s="20"/>
      <c r="E75" s="20"/>
      <c r="F75" s="88">
        <f>SUM(F67:F74)</f>
        <v>2355</v>
      </c>
      <c r="G75" s="20"/>
      <c r="H75" s="88">
        <f>SUM(H67:H74)</f>
        <v>1067.5</v>
      </c>
      <c r="I75" s="88">
        <f>SUM(I67:I74)</f>
        <v>3422.5</v>
      </c>
      <c r="J75" s="20"/>
    </row>
    <row r="77" spans="1:10" x14ac:dyDescent="0.3">
      <c r="A77" s="4" t="s">
        <v>1198</v>
      </c>
      <c r="B77" s="5"/>
      <c r="C77" s="5"/>
      <c r="D77" s="5"/>
      <c r="E77" s="5"/>
      <c r="F77" s="5"/>
      <c r="G77" s="5"/>
      <c r="H77" s="5"/>
      <c r="I77" s="5"/>
      <c r="J77" s="5"/>
    </row>
    <row r="78" spans="1:10" x14ac:dyDescent="0.3">
      <c r="A78" s="11" t="s">
        <v>407</v>
      </c>
      <c r="B78" s="11" t="s">
        <v>408</v>
      </c>
      <c r="C78" s="11" t="s">
        <v>409</v>
      </c>
      <c r="D78" s="11" t="s">
        <v>1154</v>
      </c>
      <c r="E78" s="11" t="s">
        <v>1155</v>
      </c>
      <c r="F78" s="11" t="s">
        <v>414</v>
      </c>
      <c r="G78" s="11" t="s">
        <v>1156</v>
      </c>
      <c r="H78" s="11" t="s">
        <v>415</v>
      </c>
      <c r="I78" s="11" t="s">
        <v>416</v>
      </c>
      <c r="J78" s="11" t="s">
        <v>35</v>
      </c>
    </row>
    <row r="79" spans="1:10" x14ac:dyDescent="0.3">
      <c r="A79" s="84" t="s">
        <v>1199</v>
      </c>
      <c r="B79" s="108">
        <f>ROUND(2*$B$39,0)</f>
        <v>1</v>
      </c>
      <c r="C79" s="86" t="s">
        <v>192</v>
      </c>
      <c r="D79" s="86" t="s">
        <v>192</v>
      </c>
      <c r="E79" s="75">
        <v>120</v>
      </c>
      <c r="F79" s="13">
        <f t="shared" ref="F79:F89" si="6">B79*E79</f>
        <v>120</v>
      </c>
      <c r="G79" s="114">
        <v>3</v>
      </c>
      <c r="H79" s="13">
        <f t="shared" ref="H79:H89" si="7">B79*G79*$B$6</f>
        <v>105</v>
      </c>
      <c r="I79" s="13">
        <f t="shared" ref="I79:I89" si="8">F79+H79</f>
        <v>225</v>
      </c>
      <c r="J79" s="86" t="s">
        <v>1200</v>
      </c>
    </row>
    <row r="80" spans="1:10" x14ac:dyDescent="0.3">
      <c r="A80" s="84" t="s">
        <v>1201</v>
      </c>
      <c r="B80" s="107">
        <f>150*$B$39*IF($B$7="tile",1,0)</f>
        <v>75</v>
      </c>
      <c r="C80" s="86" t="s">
        <v>292</v>
      </c>
      <c r="D80" s="86" t="s">
        <v>192</v>
      </c>
      <c r="E80" s="75">
        <v>14</v>
      </c>
      <c r="F80" s="13">
        <f t="shared" si="6"/>
        <v>1050</v>
      </c>
      <c r="G80" s="114">
        <v>0.9</v>
      </c>
      <c r="H80" s="13">
        <f t="shared" si="7"/>
        <v>2362.5</v>
      </c>
      <c r="I80" s="13">
        <f t="shared" si="8"/>
        <v>3412.5</v>
      </c>
      <c r="J80" s="86" t="s">
        <v>1202</v>
      </c>
    </row>
    <row r="81" spans="1:10" x14ac:dyDescent="0.3">
      <c r="A81" s="84" t="s">
        <v>1203</v>
      </c>
      <c r="B81" s="107">
        <f>30*$B$39*IF($B$7="tile",1,0)</f>
        <v>15</v>
      </c>
      <c r="C81" s="86" t="s">
        <v>292</v>
      </c>
      <c r="D81" s="86" t="s">
        <v>192</v>
      </c>
      <c r="E81" s="75">
        <v>16</v>
      </c>
      <c r="F81" s="13">
        <f t="shared" si="6"/>
        <v>240</v>
      </c>
      <c r="G81" s="114">
        <v>1</v>
      </c>
      <c r="H81" s="13">
        <f t="shared" si="7"/>
        <v>525</v>
      </c>
      <c r="I81" s="13">
        <f t="shared" si="8"/>
        <v>765</v>
      </c>
      <c r="J81" s="86" t="s">
        <v>1204</v>
      </c>
    </row>
    <row r="82" spans="1:10" x14ac:dyDescent="0.3">
      <c r="A82" s="84" t="s">
        <v>1205</v>
      </c>
      <c r="B82" s="107">
        <f>180*$B$39*IF($B$7="spray",1,0)</f>
        <v>0</v>
      </c>
      <c r="C82" s="86" t="s">
        <v>292</v>
      </c>
      <c r="D82" s="86" t="s">
        <v>192</v>
      </c>
      <c r="E82" s="75">
        <v>9</v>
      </c>
      <c r="F82" s="13">
        <f t="shared" si="6"/>
        <v>0</v>
      </c>
      <c r="G82" s="114">
        <v>0.25</v>
      </c>
      <c r="H82" s="13">
        <f t="shared" si="7"/>
        <v>0</v>
      </c>
      <c r="I82" s="13">
        <f t="shared" si="8"/>
        <v>0</v>
      </c>
      <c r="J82" s="86" t="s">
        <v>1206</v>
      </c>
    </row>
    <row r="83" spans="1:10" x14ac:dyDescent="0.3">
      <c r="A83" s="84" t="s">
        <v>1207</v>
      </c>
      <c r="B83" s="107">
        <f>415*$B$46</f>
        <v>341.66666666666663</v>
      </c>
      <c r="C83" s="86" t="s">
        <v>292</v>
      </c>
      <c r="D83" s="86" t="s">
        <v>1208</v>
      </c>
      <c r="E83" s="75">
        <v>1.6</v>
      </c>
      <c r="F83" s="13">
        <f t="shared" si="6"/>
        <v>546.66666666666663</v>
      </c>
      <c r="G83" s="114">
        <v>0.04</v>
      </c>
      <c r="H83" s="13">
        <f t="shared" si="7"/>
        <v>478.33333333333331</v>
      </c>
      <c r="I83" s="13">
        <f t="shared" si="8"/>
        <v>1025</v>
      </c>
      <c r="J83" s="86" t="s">
        <v>1209</v>
      </c>
    </row>
    <row r="84" spans="1:10" x14ac:dyDescent="0.3">
      <c r="A84" s="84" t="s">
        <v>1210</v>
      </c>
      <c r="B84" s="107">
        <f>256*$B$39</f>
        <v>128</v>
      </c>
      <c r="C84" s="86" t="s">
        <v>292</v>
      </c>
      <c r="D84" s="86" t="s">
        <v>192</v>
      </c>
      <c r="E84" s="75">
        <v>1.6</v>
      </c>
      <c r="F84" s="13">
        <f t="shared" si="6"/>
        <v>204.8</v>
      </c>
      <c r="G84" s="114">
        <v>0.04</v>
      </c>
      <c r="H84" s="13">
        <f t="shared" si="7"/>
        <v>179.20000000000002</v>
      </c>
      <c r="I84" s="13">
        <f t="shared" si="8"/>
        <v>384</v>
      </c>
      <c r="J84" s="86" t="s">
        <v>1211</v>
      </c>
    </row>
    <row r="85" spans="1:10" x14ac:dyDescent="0.3">
      <c r="A85" s="84" t="s">
        <v>1212</v>
      </c>
      <c r="B85" s="107">
        <f>182.34*$B$41</f>
        <v>121.84027777777777</v>
      </c>
      <c r="C85" s="86" t="s">
        <v>292</v>
      </c>
      <c r="D85" s="86" t="s">
        <v>292</v>
      </c>
      <c r="E85" s="75">
        <v>0.6</v>
      </c>
      <c r="F85" s="13">
        <f t="shared" si="6"/>
        <v>73.104166666666657</v>
      </c>
      <c r="G85" s="114">
        <v>0.02</v>
      </c>
      <c r="H85" s="13">
        <f t="shared" si="7"/>
        <v>85.288194444444443</v>
      </c>
      <c r="I85" s="13">
        <f t="shared" si="8"/>
        <v>158.39236111111109</v>
      </c>
      <c r="J85" s="86" t="s">
        <v>1213</v>
      </c>
    </row>
    <row r="86" spans="1:10" x14ac:dyDescent="0.3">
      <c r="A86" s="84" t="s">
        <v>1214</v>
      </c>
      <c r="B86" s="107">
        <f>182.34*$B$41</f>
        <v>121.84027777777777</v>
      </c>
      <c r="C86" s="86" t="s">
        <v>292</v>
      </c>
      <c r="D86" s="86" t="s">
        <v>292</v>
      </c>
      <c r="E86" s="75">
        <v>4.5</v>
      </c>
      <c r="F86" s="13">
        <f t="shared" si="6"/>
        <v>548.28125</v>
      </c>
      <c r="G86" s="114">
        <v>0.06</v>
      </c>
      <c r="H86" s="13">
        <f t="shared" si="7"/>
        <v>255.86458333333331</v>
      </c>
      <c r="I86" s="13">
        <f t="shared" si="8"/>
        <v>804.14583333333326</v>
      </c>
      <c r="J86" s="86" t="s">
        <v>1215</v>
      </c>
    </row>
    <row r="87" spans="1:10" x14ac:dyDescent="0.3">
      <c r="A87" s="84" t="s">
        <v>1216</v>
      </c>
      <c r="B87" s="108">
        <f>ROUND(2*$B$39,0)</f>
        <v>1</v>
      </c>
      <c r="C87" s="86" t="s">
        <v>192</v>
      </c>
      <c r="D87" s="86" t="s">
        <v>192</v>
      </c>
      <c r="E87" s="75">
        <v>140</v>
      </c>
      <c r="F87" s="13">
        <f t="shared" si="6"/>
        <v>140</v>
      </c>
      <c r="G87" s="114">
        <v>1.5</v>
      </c>
      <c r="H87" s="13">
        <f t="shared" si="7"/>
        <v>52.5</v>
      </c>
      <c r="I87" s="13">
        <f t="shared" si="8"/>
        <v>192.5</v>
      </c>
      <c r="J87" s="86" t="s">
        <v>1217</v>
      </c>
    </row>
    <row r="88" spans="1:10" x14ac:dyDescent="0.3">
      <c r="A88" s="84" t="s">
        <v>1218</v>
      </c>
      <c r="B88" s="107">
        <f>415*$B$46</f>
        <v>341.66666666666663</v>
      </c>
      <c r="C88" s="86" t="s">
        <v>292</v>
      </c>
      <c r="D88" s="86" t="s">
        <v>1208</v>
      </c>
      <c r="E88" s="75">
        <v>0</v>
      </c>
      <c r="F88" s="13">
        <f t="shared" si="6"/>
        <v>0</v>
      </c>
      <c r="G88" s="114">
        <v>0</v>
      </c>
      <c r="H88" s="13">
        <f t="shared" si="7"/>
        <v>0</v>
      </c>
      <c r="I88" s="13">
        <f t="shared" si="8"/>
        <v>0</v>
      </c>
      <c r="J88" s="86" t="s">
        <v>1219</v>
      </c>
    </row>
    <row r="89" spans="1:10" x14ac:dyDescent="0.3">
      <c r="A89" s="84" t="s">
        <v>1220</v>
      </c>
      <c r="B89" s="107">
        <f>252*$B$47</f>
        <v>180</v>
      </c>
      <c r="C89" s="86" t="s">
        <v>292</v>
      </c>
      <c r="D89" s="86" t="s">
        <v>1221</v>
      </c>
      <c r="E89" s="75">
        <v>0</v>
      </c>
      <c r="F89" s="13">
        <f t="shared" si="6"/>
        <v>0</v>
      </c>
      <c r="G89" s="114">
        <v>0</v>
      </c>
      <c r="H89" s="13">
        <f t="shared" si="7"/>
        <v>0</v>
      </c>
      <c r="I89" s="13">
        <f t="shared" si="8"/>
        <v>0</v>
      </c>
      <c r="J89" s="86" t="s">
        <v>1222</v>
      </c>
    </row>
    <row r="90" spans="1:10" x14ac:dyDescent="0.3">
      <c r="A90" s="16" t="s">
        <v>1223</v>
      </c>
      <c r="B90" s="20"/>
      <c r="C90" s="20"/>
      <c r="D90" s="20"/>
      <c r="E90" s="20"/>
      <c r="F90" s="88">
        <f>SUM(F79:F89)</f>
        <v>2922.8520833333332</v>
      </c>
      <c r="G90" s="20"/>
      <c r="H90" s="88">
        <f>SUM(H79:H89)</f>
        <v>4043.6861111111111</v>
      </c>
      <c r="I90" s="88">
        <f>SUM(I79:I89)</f>
        <v>6966.5381944444443</v>
      </c>
      <c r="J90" s="20"/>
    </row>
    <row r="92" spans="1:10" x14ac:dyDescent="0.3">
      <c r="A92" s="4" t="s">
        <v>1224</v>
      </c>
      <c r="B92" s="5"/>
      <c r="C92" s="5"/>
      <c r="D92" s="5"/>
      <c r="E92" s="5"/>
      <c r="F92" s="5"/>
      <c r="G92" s="5"/>
      <c r="H92" s="5"/>
      <c r="I92" s="5"/>
      <c r="J92" s="5"/>
    </row>
    <row r="93" spans="1:10" x14ac:dyDescent="0.3">
      <c r="A93" s="11" t="s">
        <v>407</v>
      </c>
      <c r="B93" s="11" t="s">
        <v>408</v>
      </c>
      <c r="C93" s="11" t="s">
        <v>409</v>
      </c>
      <c r="D93" s="11" t="s">
        <v>1154</v>
      </c>
      <c r="E93" s="11" t="s">
        <v>1155</v>
      </c>
      <c r="F93" s="11" t="s">
        <v>414</v>
      </c>
      <c r="G93" s="11" t="s">
        <v>1156</v>
      </c>
      <c r="H93" s="11" t="s">
        <v>415</v>
      </c>
      <c r="I93" s="11" t="s">
        <v>416</v>
      </c>
      <c r="J93" s="11" t="s">
        <v>35</v>
      </c>
    </row>
    <row r="94" spans="1:10" x14ac:dyDescent="0.3">
      <c r="A94" s="84" t="s">
        <v>1225</v>
      </c>
      <c r="B94" s="108">
        <f>ROUND(4*$B$40,0)</f>
        <v>4</v>
      </c>
      <c r="C94" s="86" t="s">
        <v>140</v>
      </c>
      <c r="D94" s="86" t="s">
        <v>1226</v>
      </c>
      <c r="E94" s="75">
        <v>65</v>
      </c>
      <c r="F94" s="13">
        <f t="shared" ref="F94:F99" si="9">B94*E94</f>
        <v>260</v>
      </c>
      <c r="G94" s="114">
        <v>0.75</v>
      </c>
      <c r="H94" s="13">
        <f t="shared" ref="H94:H99" si="10">B94*G94*$B$6</f>
        <v>105</v>
      </c>
      <c r="I94" s="13">
        <f t="shared" ref="I94:I99" si="11">F94+H94</f>
        <v>365</v>
      </c>
      <c r="J94" s="86" t="s">
        <v>1227</v>
      </c>
    </row>
    <row r="95" spans="1:10" x14ac:dyDescent="0.3">
      <c r="A95" s="84" t="s">
        <v>1228</v>
      </c>
      <c r="B95" s="108">
        <f>ROUND(1*$B$40,0)</f>
        <v>1</v>
      </c>
      <c r="C95" s="86" t="s">
        <v>140</v>
      </c>
      <c r="D95" s="86" t="s">
        <v>1226</v>
      </c>
      <c r="E95" s="75">
        <v>240</v>
      </c>
      <c r="F95" s="13">
        <f t="shared" si="9"/>
        <v>240</v>
      </c>
      <c r="G95" s="114">
        <v>1.5</v>
      </c>
      <c r="H95" s="13">
        <f t="shared" si="10"/>
        <v>52.5</v>
      </c>
      <c r="I95" s="13">
        <f t="shared" si="11"/>
        <v>292.5</v>
      </c>
      <c r="J95" s="86" t="s">
        <v>1229</v>
      </c>
    </row>
    <row r="96" spans="1:10" x14ac:dyDescent="0.3">
      <c r="A96" s="84" t="s">
        <v>1230</v>
      </c>
      <c r="B96" s="108">
        <f>ROUND(1*$B$40,0)</f>
        <v>1</v>
      </c>
      <c r="C96" s="86" t="s">
        <v>140</v>
      </c>
      <c r="D96" s="86" t="s">
        <v>1226</v>
      </c>
      <c r="E96" s="75">
        <v>190</v>
      </c>
      <c r="F96" s="13">
        <f t="shared" si="9"/>
        <v>190</v>
      </c>
      <c r="G96" s="114">
        <v>1</v>
      </c>
      <c r="H96" s="13">
        <f t="shared" si="10"/>
        <v>35</v>
      </c>
      <c r="I96" s="13">
        <f t="shared" si="11"/>
        <v>225</v>
      </c>
      <c r="J96" s="86" t="s">
        <v>1231</v>
      </c>
    </row>
    <row r="97" spans="1:10" x14ac:dyDescent="0.3">
      <c r="A97" s="84" t="s">
        <v>1232</v>
      </c>
      <c r="B97" s="108">
        <f>ROUND(1*$B$40,0)</f>
        <v>1</v>
      </c>
      <c r="C97" s="86" t="s">
        <v>140</v>
      </c>
      <c r="D97" s="86" t="s">
        <v>1226</v>
      </c>
      <c r="E97" s="75">
        <v>160</v>
      </c>
      <c r="F97" s="13">
        <f t="shared" si="9"/>
        <v>160</v>
      </c>
      <c r="G97" s="114">
        <v>0.5</v>
      </c>
      <c r="H97" s="13">
        <f t="shared" si="10"/>
        <v>17.5</v>
      </c>
      <c r="I97" s="13">
        <f t="shared" si="11"/>
        <v>177.5</v>
      </c>
      <c r="J97" s="86" t="s">
        <v>1233</v>
      </c>
    </row>
    <row r="98" spans="1:10" x14ac:dyDescent="0.3">
      <c r="A98" s="84" t="s">
        <v>1234</v>
      </c>
      <c r="B98" s="108">
        <f>ROUND(1*$B$40,0)</f>
        <v>1</v>
      </c>
      <c r="C98" s="86" t="s">
        <v>1235</v>
      </c>
      <c r="D98" s="86" t="s">
        <v>1226</v>
      </c>
      <c r="E98" s="75">
        <v>130</v>
      </c>
      <c r="F98" s="13">
        <f t="shared" si="9"/>
        <v>130</v>
      </c>
      <c r="G98" s="114">
        <v>0.5</v>
      </c>
      <c r="H98" s="13">
        <f t="shared" si="10"/>
        <v>17.5</v>
      </c>
      <c r="I98" s="13">
        <f t="shared" si="11"/>
        <v>147.5</v>
      </c>
      <c r="J98" s="86" t="s">
        <v>1236</v>
      </c>
    </row>
    <row r="99" spans="1:10" x14ac:dyDescent="0.3">
      <c r="A99" s="84" t="s">
        <v>1237</v>
      </c>
      <c r="B99" s="108">
        <f>ROUND(1*$B$40,0)</f>
        <v>1</v>
      </c>
      <c r="C99" s="86" t="s">
        <v>140</v>
      </c>
      <c r="D99" s="86" t="s">
        <v>1226</v>
      </c>
      <c r="E99" s="75">
        <v>120</v>
      </c>
      <c r="F99" s="13">
        <f t="shared" si="9"/>
        <v>120</v>
      </c>
      <c r="G99" s="114">
        <v>1</v>
      </c>
      <c r="H99" s="13">
        <f t="shared" si="10"/>
        <v>35</v>
      </c>
      <c r="I99" s="13">
        <f t="shared" si="11"/>
        <v>155</v>
      </c>
      <c r="J99" s="86" t="s">
        <v>1238</v>
      </c>
    </row>
    <row r="100" spans="1:10" x14ac:dyDescent="0.3">
      <c r="A100" s="16" t="s">
        <v>1239</v>
      </c>
      <c r="B100" s="20"/>
      <c r="C100" s="20"/>
      <c r="D100" s="20"/>
      <c r="E100" s="20"/>
      <c r="F100" s="88">
        <f>SUM(F94:F99)</f>
        <v>1100</v>
      </c>
      <c r="G100" s="20"/>
      <c r="H100" s="88">
        <f>SUM(H94:H99)</f>
        <v>262.5</v>
      </c>
      <c r="I100" s="88">
        <f>SUM(I94:I99)</f>
        <v>1362.5</v>
      </c>
      <c r="J100" s="20"/>
    </row>
    <row r="102" spans="1:10" x14ac:dyDescent="0.3">
      <c r="A102" s="4" t="s">
        <v>1240</v>
      </c>
      <c r="B102" s="5"/>
      <c r="C102" s="5"/>
      <c r="D102" s="5"/>
      <c r="E102" s="5"/>
      <c r="F102" s="5"/>
      <c r="G102" s="5"/>
      <c r="H102" s="5"/>
      <c r="I102" s="5"/>
      <c r="J102" s="5"/>
    </row>
    <row r="103" spans="1:10" x14ac:dyDescent="0.3">
      <c r="A103" s="11" t="s">
        <v>407</v>
      </c>
      <c r="B103" s="11" t="s">
        <v>408</v>
      </c>
      <c r="C103" s="11" t="s">
        <v>409</v>
      </c>
      <c r="D103" s="11" t="s">
        <v>1154</v>
      </c>
      <c r="E103" s="11" t="s">
        <v>1155</v>
      </c>
      <c r="F103" s="11" t="s">
        <v>414</v>
      </c>
      <c r="G103" s="11" t="s">
        <v>1156</v>
      </c>
      <c r="H103" s="11" t="s">
        <v>415</v>
      </c>
      <c r="I103" s="11" t="s">
        <v>416</v>
      </c>
      <c r="J103" s="11" t="s">
        <v>35</v>
      </c>
    </row>
    <row r="104" spans="1:10" x14ac:dyDescent="0.3">
      <c r="A104" s="84" t="s">
        <v>1241</v>
      </c>
      <c r="B104" s="108">
        <f>ROUND(3*$B$43,0)</f>
        <v>2</v>
      </c>
      <c r="C104" s="86" t="s">
        <v>140</v>
      </c>
      <c r="D104" s="86" t="s">
        <v>1242</v>
      </c>
      <c r="E104" s="75">
        <v>780</v>
      </c>
      <c r="F104" s="13">
        <f>B104*E104</f>
        <v>1560</v>
      </c>
      <c r="G104" s="114">
        <v>3</v>
      </c>
      <c r="H104" s="13">
        <f>B104*G104*$B$6</f>
        <v>210</v>
      </c>
      <c r="I104" s="13">
        <f>F104+H104</f>
        <v>1770</v>
      </c>
      <c r="J104" s="86" t="s">
        <v>1243</v>
      </c>
    </row>
    <row r="105" spans="1:10" x14ac:dyDescent="0.3">
      <c r="A105" s="84" t="s">
        <v>1244</v>
      </c>
      <c r="B105" s="108">
        <f>ROUND(3*$B$43,0)</f>
        <v>2</v>
      </c>
      <c r="C105" s="86" t="s">
        <v>140</v>
      </c>
      <c r="D105" s="86" t="s">
        <v>1242</v>
      </c>
      <c r="E105" s="75">
        <v>160</v>
      </c>
      <c r="F105" s="13">
        <f>B105*E105</f>
        <v>320</v>
      </c>
      <c r="G105" s="114">
        <v>1</v>
      </c>
      <c r="H105" s="13">
        <f>B105*G105*$B$6</f>
        <v>70</v>
      </c>
      <c r="I105" s="13">
        <f>F105+H105</f>
        <v>390</v>
      </c>
      <c r="J105" s="86" t="s">
        <v>1245</v>
      </c>
    </row>
    <row r="106" spans="1:10" x14ac:dyDescent="0.3">
      <c r="A106" s="84" t="s">
        <v>1246</v>
      </c>
      <c r="B106" s="108">
        <f>ROUND(2*$B$44,0)</f>
        <v>1</v>
      </c>
      <c r="C106" s="86" t="s">
        <v>140</v>
      </c>
      <c r="D106" s="86" t="s">
        <v>1247</v>
      </c>
      <c r="E106" s="75">
        <v>220</v>
      </c>
      <c r="F106" s="13">
        <f>B106*E106</f>
        <v>220</v>
      </c>
      <c r="G106" s="114">
        <v>1.5</v>
      </c>
      <c r="H106" s="13">
        <f>B106*G106*$B$6</f>
        <v>52.5</v>
      </c>
      <c r="I106" s="13">
        <f>F106+H106</f>
        <v>272.5</v>
      </c>
      <c r="J106" s="86" t="s">
        <v>1248</v>
      </c>
    </row>
    <row r="107" spans="1:10" x14ac:dyDescent="0.3">
      <c r="A107" s="84" t="s">
        <v>1249</v>
      </c>
      <c r="B107" s="108">
        <f>ROUND(5*$B$45,0)</f>
        <v>3</v>
      </c>
      <c r="C107" s="86" t="s">
        <v>1250</v>
      </c>
      <c r="D107" s="86" t="s">
        <v>1250</v>
      </c>
      <c r="E107" s="75">
        <v>60</v>
      </c>
      <c r="F107" s="13">
        <f>B107*E107</f>
        <v>180</v>
      </c>
      <c r="G107" s="114">
        <v>1.5</v>
      </c>
      <c r="H107" s="13">
        <f>B107*G107*$B$6</f>
        <v>157.5</v>
      </c>
      <c r="I107" s="13">
        <f>F107+H107</f>
        <v>337.5</v>
      </c>
      <c r="J107" s="86" t="s">
        <v>1251</v>
      </c>
    </row>
    <row r="108" spans="1:10" x14ac:dyDescent="0.3">
      <c r="A108" s="84" t="s">
        <v>1252</v>
      </c>
      <c r="B108" s="108">
        <f>ROUND(3*$B$43,0)</f>
        <v>2</v>
      </c>
      <c r="C108" s="86" t="s">
        <v>140</v>
      </c>
      <c r="D108" s="86" t="s">
        <v>1242</v>
      </c>
      <c r="E108" s="75">
        <v>0</v>
      </c>
      <c r="F108" s="13">
        <f>B108*E108</f>
        <v>0</v>
      </c>
      <c r="G108" s="114">
        <v>0</v>
      </c>
      <c r="H108" s="13">
        <f>B108*G108*$B$6</f>
        <v>0</v>
      </c>
      <c r="I108" s="13">
        <f>F108+H108</f>
        <v>0</v>
      </c>
      <c r="J108" s="86" t="s">
        <v>1253</v>
      </c>
    </row>
    <row r="109" spans="1:10" x14ac:dyDescent="0.3">
      <c r="A109" s="16" t="s">
        <v>1254</v>
      </c>
      <c r="B109" s="20"/>
      <c r="C109" s="20"/>
      <c r="D109" s="20"/>
      <c r="E109" s="20"/>
      <c r="F109" s="88">
        <f>SUM(F104:F108)</f>
        <v>2280</v>
      </c>
      <c r="G109" s="20"/>
      <c r="H109" s="88">
        <f>SUM(H104:H108)</f>
        <v>490</v>
      </c>
      <c r="I109" s="88">
        <f>SUM(I104:I108)</f>
        <v>2770</v>
      </c>
      <c r="J109" s="20"/>
    </row>
    <row r="111" spans="1:10" x14ac:dyDescent="0.3">
      <c r="A111" s="4" t="s">
        <v>1255</v>
      </c>
      <c r="B111" s="5"/>
      <c r="C111" s="5"/>
      <c r="D111" s="5"/>
      <c r="E111" s="5"/>
      <c r="F111" s="5"/>
      <c r="G111" s="5"/>
      <c r="H111" s="5"/>
      <c r="I111" s="5"/>
      <c r="J111" s="5"/>
    </row>
    <row r="112" spans="1:10" x14ac:dyDescent="0.3">
      <c r="A112" s="11" t="s">
        <v>407</v>
      </c>
      <c r="B112" s="11" t="s">
        <v>408</v>
      </c>
      <c r="C112" s="11" t="s">
        <v>409</v>
      </c>
      <c r="D112" s="11" t="s">
        <v>1154</v>
      </c>
      <c r="E112" s="11" t="s">
        <v>1155</v>
      </c>
      <c r="F112" s="11" t="s">
        <v>414</v>
      </c>
      <c r="G112" s="11" t="s">
        <v>1156</v>
      </c>
      <c r="H112" s="11" t="s">
        <v>415</v>
      </c>
      <c r="I112" s="11" t="s">
        <v>416</v>
      </c>
      <c r="J112" s="11" t="s">
        <v>35</v>
      </c>
    </row>
    <row r="113" spans="1:10" x14ac:dyDescent="0.3">
      <c r="A113" s="84" t="s">
        <v>1256</v>
      </c>
      <c r="B113" s="107">
        <f>150*$B$50</f>
        <v>150</v>
      </c>
      <c r="C113" s="86" t="s">
        <v>1112</v>
      </c>
      <c r="D113" s="86" t="s">
        <v>1112</v>
      </c>
      <c r="E113" s="75">
        <v>6.5</v>
      </c>
      <c r="F113" s="13">
        <f t="shared" ref="F113:F119" si="12">B113*E113</f>
        <v>975</v>
      </c>
      <c r="G113" s="114">
        <v>0</v>
      </c>
      <c r="H113" s="13">
        <f>B113*G113*$B$6</f>
        <v>0</v>
      </c>
      <c r="I113" s="13">
        <f t="shared" ref="I113:I119" si="13">F113+H113</f>
        <v>975</v>
      </c>
      <c r="J113" s="86" t="s">
        <v>1257</v>
      </c>
    </row>
    <row r="114" spans="1:10" x14ac:dyDescent="0.3">
      <c r="A114" s="84" t="s">
        <v>1258</v>
      </c>
      <c r="B114" s="108">
        <f>1*IF($B$11="none",0,1)</f>
        <v>1</v>
      </c>
      <c r="C114" s="86" t="s">
        <v>140</v>
      </c>
      <c r="D114" s="86" t="s">
        <v>1168</v>
      </c>
      <c r="E114" s="75">
        <v>350</v>
      </c>
      <c r="F114" s="13">
        <f t="shared" si="12"/>
        <v>350</v>
      </c>
      <c r="G114" s="114">
        <v>0</v>
      </c>
      <c r="H114" s="13">
        <f>B114*G114*$B$6</f>
        <v>0</v>
      </c>
      <c r="I114" s="13">
        <f t="shared" si="13"/>
        <v>350</v>
      </c>
      <c r="J114" s="86" t="s">
        <v>1259</v>
      </c>
    </row>
    <row r="115" spans="1:10" x14ac:dyDescent="0.3">
      <c r="A115" s="84" t="s">
        <v>1260</v>
      </c>
      <c r="B115" s="115">
        <f>1</f>
        <v>1</v>
      </c>
      <c r="C115" s="86" t="s">
        <v>1175</v>
      </c>
      <c r="D115" s="86" t="s">
        <v>1168</v>
      </c>
      <c r="E115" s="75">
        <v>60</v>
      </c>
      <c r="F115" s="13">
        <f t="shared" si="12"/>
        <v>60</v>
      </c>
      <c r="G115" s="114">
        <v>3</v>
      </c>
      <c r="H115" s="13">
        <f>B115*G115*$B$6</f>
        <v>105</v>
      </c>
      <c r="I115" s="13">
        <f t="shared" si="13"/>
        <v>165</v>
      </c>
      <c r="J115" s="86" t="s">
        <v>1261</v>
      </c>
    </row>
    <row r="116" spans="1:10" x14ac:dyDescent="0.3">
      <c r="A116" s="84" t="s">
        <v>1262</v>
      </c>
      <c r="B116" s="103">
        <f>1</f>
        <v>1</v>
      </c>
      <c r="C116" s="86" t="s">
        <v>1263</v>
      </c>
      <c r="D116" s="86" t="s">
        <v>1168</v>
      </c>
      <c r="E116" s="75">
        <v>1500</v>
      </c>
      <c r="F116" s="13">
        <f t="shared" si="12"/>
        <v>1500</v>
      </c>
      <c r="G116" s="114">
        <v>8</v>
      </c>
      <c r="H116" s="13">
        <f>B116*G116*$B$6</f>
        <v>280</v>
      </c>
      <c r="I116" s="13">
        <f t="shared" si="13"/>
        <v>1780</v>
      </c>
      <c r="J116" s="86" t="s">
        <v>1264</v>
      </c>
    </row>
    <row r="117" spans="1:10" x14ac:dyDescent="0.3">
      <c r="A117" s="84" t="s">
        <v>1265</v>
      </c>
      <c r="B117" s="103">
        <f>4</f>
        <v>4</v>
      </c>
      <c r="C117" s="86" t="s">
        <v>140</v>
      </c>
      <c r="D117" s="86" t="s">
        <v>1168</v>
      </c>
      <c r="E117" s="75">
        <v>85</v>
      </c>
      <c r="F117" s="13">
        <f t="shared" si="12"/>
        <v>340</v>
      </c>
      <c r="G117" s="114">
        <v>1.5</v>
      </c>
      <c r="H117" s="13">
        <f>B117*G117*$B$6</f>
        <v>210</v>
      </c>
      <c r="I117" s="13">
        <f t="shared" si="13"/>
        <v>550</v>
      </c>
      <c r="J117" s="86" t="s">
        <v>1266</v>
      </c>
    </row>
    <row r="118" spans="1:10" x14ac:dyDescent="0.3">
      <c r="A118" s="84" t="s">
        <v>1267</v>
      </c>
      <c r="B118" s="107">
        <f>1*$B$41</f>
        <v>0.66820378292079508</v>
      </c>
      <c r="C118" s="86" t="s">
        <v>1175</v>
      </c>
      <c r="D118" s="86" t="s">
        <v>292</v>
      </c>
      <c r="E118" s="75">
        <v>600</v>
      </c>
      <c r="F118" s="13">
        <f t="shared" si="12"/>
        <v>400.92226975247706</v>
      </c>
      <c r="G118" s="116">
        <v>400</v>
      </c>
      <c r="H118" s="13">
        <f>B118*G118</f>
        <v>267.28151316831804</v>
      </c>
      <c r="I118" s="13">
        <f t="shared" si="13"/>
        <v>668.20378292079511</v>
      </c>
      <c r="J118" s="86" t="s">
        <v>1268</v>
      </c>
    </row>
    <row r="119" spans="1:10" x14ac:dyDescent="0.3">
      <c r="A119" s="84" t="s">
        <v>1269</v>
      </c>
      <c r="B119" s="115">
        <f>1</f>
        <v>1</v>
      </c>
      <c r="C119" s="86" t="s">
        <v>1175</v>
      </c>
      <c r="D119" s="86" t="s">
        <v>1168</v>
      </c>
      <c r="E119" s="75">
        <v>1200</v>
      </c>
      <c r="F119" s="13">
        <f t="shared" si="12"/>
        <v>1200</v>
      </c>
      <c r="G119" s="114">
        <v>12</v>
      </c>
      <c r="H119" s="13">
        <f>B119*G119*$B$6</f>
        <v>420</v>
      </c>
      <c r="I119" s="13">
        <f t="shared" si="13"/>
        <v>1620</v>
      </c>
      <c r="J119" s="86" t="s">
        <v>1270</v>
      </c>
    </row>
    <row r="120" spans="1:10" x14ac:dyDescent="0.3">
      <c r="A120" s="16" t="s">
        <v>1271</v>
      </c>
      <c r="B120" s="20"/>
      <c r="C120" s="20"/>
      <c r="D120" s="20"/>
      <c r="E120" s="20"/>
      <c r="F120" s="88">
        <f>SUM(F113:F119)</f>
        <v>4825.9222697524765</v>
      </c>
      <c r="G120" s="20"/>
      <c r="H120" s="88">
        <f>SUM(H113:H119)</f>
        <v>1282.281513168318</v>
      </c>
      <c r="I120" s="88">
        <f>SUM(I113:I119)</f>
        <v>6108.2037829207948</v>
      </c>
      <c r="J120" s="20"/>
    </row>
    <row r="122" spans="1:10" x14ac:dyDescent="0.3">
      <c r="A122" s="4" t="s">
        <v>1272</v>
      </c>
      <c r="B122" s="5"/>
      <c r="C122" s="5"/>
      <c r="D122" s="5"/>
      <c r="E122" s="5"/>
      <c r="F122" s="5"/>
      <c r="G122" s="5"/>
      <c r="H122" s="5"/>
      <c r="I122" s="5"/>
      <c r="J122" s="5"/>
    </row>
    <row r="123" spans="1:10" x14ac:dyDescent="0.3">
      <c r="A123" s="11" t="s">
        <v>407</v>
      </c>
      <c r="B123" s="11" t="s">
        <v>408</v>
      </c>
      <c r="C123" s="11" t="s">
        <v>409</v>
      </c>
      <c r="D123" s="11" t="s">
        <v>1154</v>
      </c>
      <c r="E123" s="11" t="s">
        <v>1155</v>
      </c>
      <c r="F123" s="11" t="s">
        <v>414</v>
      </c>
      <c r="G123" s="11" t="s">
        <v>1156</v>
      </c>
      <c r="H123" s="11" t="s">
        <v>415</v>
      </c>
      <c r="I123" s="11" t="s">
        <v>416</v>
      </c>
      <c r="J123" s="11" t="s">
        <v>35</v>
      </c>
    </row>
    <row r="124" spans="1:10" x14ac:dyDescent="0.3">
      <c r="A124" s="84" t="s">
        <v>1273</v>
      </c>
      <c r="B124" s="115">
        <f>1</f>
        <v>1</v>
      </c>
      <c r="C124" s="86" t="s">
        <v>1175</v>
      </c>
      <c r="D124" s="86" t="s">
        <v>1168</v>
      </c>
      <c r="E124" s="75">
        <v>2500</v>
      </c>
      <c r="F124" s="13">
        <f>B124*E124</f>
        <v>2500</v>
      </c>
      <c r="G124" s="114">
        <v>0</v>
      </c>
      <c r="H124" s="13">
        <f>B124*G124*$B$6</f>
        <v>0</v>
      </c>
      <c r="I124" s="13">
        <f>F124+H124</f>
        <v>2500</v>
      </c>
      <c r="J124" s="86" t="s">
        <v>1274</v>
      </c>
    </row>
    <row r="125" spans="1:10" x14ac:dyDescent="0.3">
      <c r="A125" s="84" t="s">
        <v>1275</v>
      </c>
      <c r="B125" s="115">
        <f>1</f>
        <v>1</v>
      </c>
      <c r="C125" s="86" t="s">
        <v>1175</v>
      </c>
      <c r="D125" s="86" t="s">
        <v>1168</v>
      </c>
      <c r="E125" s="75">
        <v>900</v>
      </c>
      <c r="F125" s="13">
        <f>B125*E125</f>
        <v>900</v>
      </c>
      <c r="G125" s="114">
        <v>0</v>
      </c>
      <c r="H125" s="13">
        <f>B125*G125*$B$6</f>
        <v>0</v>
      </c>
      <c r="I125" s="13">
        <f>F125+H125</f>
        <v>900</v>
      </c>
      <c r="J125" s="86" t="s">
        <v>1276</v>
      </c>
    </row>
    <row r="126" spans="1:10" x14ac:dyDescent="0.3">
      <c r="A126" s="84" t="s">
        <v>1277</v>
      </c>
      <c r="B126" s="115">
        <f>1</f>
        <v>1</v>
      </c>
      <c r="C126" s="86" t="s">
        <v>1175</v>
      </c>
      <c r="D126" s="86" t="s">
        <v>1168</v>
      </c>
      <c r="E126" s="75">
        <v>300</v>
      </c>
      <c r="F126" s="13">
        <f>B126*E126</f>
        <v>300</v>
      </c>
      <c r="G126" s="114">
        <v>0</v>
      </c>
      <c r="H126" s="13">
        <f>B126*G126*$B$6</f>
        <v>0</v>
      </c>
      <c r="I126" s="13">
        <f>F126+H126</f>
        <v>300</v>
      </c>
      <c r="J126" s="86" t="s">
        <v>1171</v>
      </c>
    </row>
    <row r="127" spans="1:10" x14ac:dyDescent="0.3">
      <c r="A127" s="16" t="s">
        <v>1278</v>
      </c>
      <c r="B127" s="20"/>
      <c r="C127" s="20"/>
      <c r="D127" s="20"/>
      <c r="E127" s="20"/>
      <c r="F127" s="88">
        <f>SUM(F124:F126)</f>
        <v>3700</v>
      </c>
      <c r="G127" s="20"/>
      <c r="H127" s="88">
        <f>SUM(H124:H126)</f>
        <v>0</v>
      </c>
      <c r="I127" s="88">
        <f>SUM(I124:I126)</f>
        <v>3700</v>
      </c>
      <c r="J127" s="20"/>
    </row>
    <row r="129" spans="1:10" x14ac:dyDescent="0.3">
      <c r="A129" s="90" t="s">
        <v>1279</v>
      </c>
      <c r="B129" s="91"/>
      <c r="C129" s="91"/>
      <c r="D129" s="91"/>
      <c r="E129" s="91"/>
      <c r="F129" s="92">
        <f>$F$63+$F$75+$F$90+$F$100+$F$109+$F$120+$F$127</f>
        <v>20533.77435308581</v>
      </c>
      <c r="G129" s="91"/>
      <c r="H129" s="92">
        <f>$H$63+$H$75+$H$90+$H$100+$H$109+$H$120+$H$127</f>
        <v>8160.9676242794294</v>
      </c>
      <c r="I129" s="92">
        <f>$I$63+$I$75+$I$90+$I$100+$I$109+$I$120+$I$127</f>
        <v>28694.74197736524</v>
      </c>
      <c r="J129" s="91"/>
    </row>
    <row r="130" spans="1:10" ht="43.95" customHeight="1" x14ac:dyDescent="0.3">
      <c r="A130" s="121" t="s">
        <v>1280</v>
      </c>
      <c r="B130" s="122"/>
      <c r="C130" s="122"/>
      <c r="D130" s="122"/>
      <c r="E130" s="122"/>
      <c r="F130" s="122"/>
      <c r="G130" s="122"/>
      <c r="H130" s="122"/>
      <c r="I130" s="122"/>
      <c r="J130" s="122"/>
    </row>
    <row r="131" spans="1:10" x14ac:dyDescent="0.3">
      <c r="A131" s="2" t="s">
        <v>1281</v>
      </c>
    </row>
  </sheetData>
  <mergeCells count="2">
    <mergeCell ref="A130:J130"/>
    <mergeCell ref="A2:J2"/>
  </mergeCells>
  <dataValidations count="1">
    <dataValidation type="list" sqref="B8" xr:uid="{00000000-0002-0000-0600-000000000000}">
      <formula1>"yes,no"</formula1>
    </dataValidation>
  </dataValidations>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5"/>
  <sheetViews>
    <sheetView workbookViewId="0"/>
  </sheetViews>
  <sheetFormatPr defaultRowHeight="14.4" x14ac:dyDescent="0.3"/>
  <cols>
    <col min="1" max="1" width="50" customWidth="1"/>
    <col min="2" max="2" width="16" customWidth="1"/>
    <col min="3" max="3" width="10" customWidth="1"/>
    <col min="4" max="4" width="16" customWidth="1"/>
    <col min="5" max="5" width="12" customWidth="1"/>
    <col min="6" max="6" width="70" customWidth="1"/>
  </cols>
  <sheetData>
    <row r="1" spans="1:6" ht="17.399999999999999" x14ac:dyDescent="0.3">
      <c r="A1" s="57" t="s">
        <v>1282</v>
      </c>
    </row>
    <row r="2" spans="1:6" x14ac:dyDescent="0.3">
      <c r="A2" s="2" t="s">
        <v>1283</v>
      </c>
    </row>
    <row r="3" spans="1:6" x14ac:dyDescent="0.3">
      <c r="A3" s="3" t="s">
        <v>123</v>
      </c>
    </row>
    <row r="5" spans="1:6" x14ac:dyDescent="0.3">
      <c r="A5" s="11" t="s">
        <v>407</v>
      </c>
      <c r="B5" s="11" t="s">
        <v>1284</v>
      </c>
      <c r="C5" s="11" t="s">
        <v>409</v>
      </c>
      <c r="D5" s="11" t="s">
        <v>1285</v>
      </c>
      <c r="E5" s="11" t="s">
        <v>1286</v>
      </c>
      <c r="F5" s="11" t="s">
        <v>561</v>
      </c>
    </row>
    <row r="6" spans="1:6" x14ac:dyDescent="0.3">
      <c r="A6" s="21" t="s">
        <v>1287</v>
      </c>
      <c r="B6" s="21">
        <v>14</v>
      </c>
      <c r="C6" s="2" t="s">
        <v>140</v>
      </c>
      <c r="D6" s="117">
        <f>Walls!$B$86</f>
        <v>14</v>
      </c>
      <c r="E6" s="118">
        <f>D6-B6</f>
        <v>0</v>
      </c>
      <c r="F6" s="2" t="s">
        <v>1288</v>
      </c>
    </row>
    <row r="7" spans="1:6" x14ac:dyDescent="0.3">
      <c r="A7" s="21" t="s">
        <v>1289</v>
      </c>
      <c r="B7" s="21">
        <v>2</v>
      </c>
      <c r="C7" s="2" t="s">
        <v>140</v>
      </c>
      <c r="D7" s="117">
        <f>Walls!$B$203</f>
        <v>2</v>
      </c>
      <c r="E7" s="118">
        <f>D7-B7</f>
        <v>0</v>
      </c>
      <c r="F7" s="2" t="s">
        <v>1290</v>
      </c>
    </row>
    <row r="8" spans="1:6" x14ac:dyDescent="0.3">
      <c r="A8" s="21" t="s">
        <v>1291</v>
      </c>
      <c r="B8" s="21" t="s">
        <v>1292</v>
      </c>
      <c r="C8" s="2" t="s">
        <v>140</v>
      </c>
      <c r="F8" s="2" t="s">
        <v>1293</v>
      </c>
    </row>
    <row r="9" spans="1:6" x14ac:dyDescent="0.3">
      <c r="A9" s="21" t="s">
        <v>1294</v>
      </c>
      <c r="B9" s="21">
        <v>96</v>
      </c>
      <c r="C9" s="2" t="s">
        <v>145</v>
      </c>
      <c r="D9" s="117">
        <f>Walls!$B$20</f>
        <v>96</v>
      </c>
      <c r="E9" s="118">
        <f t="shared" ref="E9:E46" si="0">D9-B9</f>
        <v>0</v>
      </c>
      <c r="F9" s="2" t="s">
        <v>1295</v>
      </c>
    </row>
    <row r="10" spans="1:6" x14ac:dyDescent="0.3">
      <c r="A10" s="21" t="s">
        <v>289</v>
      </c>
      <c r="B10" s="21">
        <v>168</v>
      </c>
      <c r="C10" s="2" t="s">
        <v>145</v>
      </c>
      <c r="D10" s="117">
        <f>Walls!$B$104</f>
        <v>168</v>
      </c>
      <c r="E10" s="118">
        <f t="shared" si="0"/>
        <v>0</v>
      </c>
      <c r="F10" s="2"/>
    </row>
    <row r="11" spans="1:6" x14ac:dyDescent="0.3">
      <c r="A11" s="21" t="s">
        <v>572</v>
      </c>
      <c r="B11" s="21">
        <v>144</v>
      </c>
      <c r="C11" s="2" t="s">
        <v>145</v>
      </c>
      <c r="D11" s="117">
        <f>Walls!$B$105</f>
        <v>144</v>
      </c>
      <c r="E11" s="118">
        <f t="shared" si="0"/>
        <v>0</v>
      </c>
      <c r="F11" s="2" t="s">
        <v>1296</v>
      </c>
    </row>
    <row r="12" spans="1:6" x14ac:dyDescent="0.3">
      <c r="A12" s="21" t="s">
        <v>76</v>
      </c>
      <c r="B12" s="21">
        <v>121.84</v>
      </c>
      <c r="C12" s="2" t="s">
        <v>292</v>
      </c>
      <c r="D12" s="117">
        <f>Walls!$B$106</f>
        <v>121.84027777777777</v>
      </c>
      <c r="E12" s="118">
        <f t="shared" si="0"/>
        <v>2.7777777776805124E-4</v>
      </c>
      <c r="F12" s="2" t="s">
        <v>1297</v>
      </c>
    </row>
    <row r="13" spans="1:6" x14ac:dyDescent="0.3">
      <c r="A13" s="21" t="s">
        <v>299</v>
      </c>
      <c r="B13" s="21">
        <v>385.33300000000003</v>
      </c>
      <c r="C13" s="2" t="s">
        <v>292</v>
      </c>
      <c r="D13" s="117">
        <f>Walls!$B$110</f>
        <v>385.33333333333331</v>
      </c>
      <c r="E13" s="118">
        <f t="shared" si="0"/>
        <v>3.3333333328755543E-4</v>
      </c>
      <c r="F13" s="2" t="s">
        <v>1298</v>
      </c>
    </row>
    <row r="14" spans="1:6" x14ac:dyDescent="0.3">
      <c r="A14" s="21" t="s">
        <v>1299</v>
      </c>
      <c r="B14" s="21">
        <v>43.667000000000002</v>
      </c>
      <c r="C14" s="2" t="s">
        <v>292</v>
      </c>
      <c r="D14" s="117">
        <f>Walls!$B$111</f>
        <v>43.666666666666671</v>
      </c>
      <c r="E14" s="118">
        <f t="shared" si="0"/>
        <v>-3.33333333330188E-4</v>
      </c>
      <c r="F14" s="2" t="s">
        <v>1300</v>
      </c>
    </row>
    <row r="15" spans="1:6" x14ac:dyDescent="0.3">
      <c r="A15" s="21" t="s">
        <v>1301</v>
      </c>
      <c r="B15" s="21">
        <v>341.66699999999997</v>
      </c>
      <c r="C15" s="2" t="s">
        <v>292</v>
      </c>
      <c r="D15" s="117">
        <f>Walls!$B$112</f>
        <v>341.66666666666663</v>
      </c>
      <c r="E15" s="118">
        <f t="shared" si="0"/>
        <v>-3.3333333334439885E-4</v>
      </c>
      <c r="F15" s="2"/>
    </row>
    <row r="16" spans="1:6" x14ac:dyDescent="0.3">
      <c r="A16" s="21" t="s">
        <v>1302</v>
      </c>
      <c r="B16" s="21">
        <v>5.2729999999999997</v>
      </c>
      <c r="C16" s="2" t="s">
        <v>379</v>
      </c>
      <c r="D16" s="117">
        <f>Walls!$B$190</f>
        <v>5.2726337448559661</v>
      </c>
      <c r="E16" s="118">
        <f t="shared" si="0"/>
        <v>-3.6625514403354487E-4</v>
      </c>
      <c r="F16" s="2" t="s">
        <v>1303</v>
      </c>
    </row>
    <row r="17" spans="1:6" x14ac:dyDescent="0.3">
      <c r="A17" s="21" t="s">
        <v>1304</v>
      </c>
      <c r="B17" s="21">
        <v>2.109</v>
      </c>
      <c r="C17" s="2" t="s">
        <v>379</v>
      </c>
      <c r="D17" s="117">
        <f>Walls!$B$191</f>
        <v>2.1090534979423867</v>
      </c>
      <c r="E17" s="118">
        <f t="shared" si="0"/>
        <v>5.3497942386737662E-5</v>
      </c>
      <c r="F17" s="2" t="s">
        <v>1305</v>
      </c>
    </row>
    <row r="18" spans="1:6" x14ac:dyDescent="0.3">
      <c r="A18" s="21" t="s">
        <v>1306</v>
      </c>
      <c r="B18" s="21">
        <v>4.7450000000000001</v>
      </c>
      <c r="C18" s="2" t="s">
        <v>379</v>
      </c>
      <c r="D18" s="117">
        <f>Walls!$B$192</f>
        <v>4.7453703703703694</v>
      </c>
      <c r="E18" s="118">
        <f t="shared" si="0"/>
        <v>3.7037037036924403E-4</v>
      </c>
      <c r="F18" s="2" t="s">
        <v>1307</v>
      </c>
    </row>
    <row r="19" spans="1:6" x14ac:dyDescent="0.3">
      <c r="A19" s="21" t="s">
        <v>1308</v>
      </c>
      <c r="B19" s="21">
        <v>12.127000000000001</v>
      </c>
      <c r="C19" s="2" t="s">
        <v>379</v>
      </c>
      <c r="D19" s="117">
        <f>Walls!$B$193</f>
        <v>12.127057613168724</v>
      </c>
      <c r="E19" s="118">
        <f t="shared" si="0"/>
        <v>5.7613168722880914E-5</v>
      </c>
      <c r="F19" s="2" t="s">
        <v>1309</v>
      </c>
    </row>
    <row r="20" spans="1:6" x14ac:dyDescent="0.3">
      <c r="A20" s="21" t="s">
        <v>1310</v>
      </c>
      <c r="B20" s="21">
        <v>46</v>
      </c>
      <c r="C20" s="2" t="s">
        <v>140</v>
      </c>
      <c r="D20" s="117">
        <f>Walls!$B$167</f>
        <v>46</v>
      </c>
      <c r="E20" s="118">
        <f t="shared" si="0"/>
        <v>0</v>
      </c>
      <c r="F20" s="2" t="s">
        <v>588</v>
      </c>
    </row>
    <row r="21" spans="1:6" x14ac:dyDescent="0.3">
      <c r="A21" s="21" t="s">
        <v>1311</v>
      </c>
      <c r="B21" s="21">
        <v>6</v>
      </c>
      <c r="C21" s="2" t="s">
        <v>140</v>
      </c>
      <c r="D21" s="117">
        <f>Walls!$B$168</f>
        <v>6</v>
      </c>
      <c r="E21" s="118">
        <f t="shared" si="0"/>
        <v>0</v>
      </c>
      <c r="F21" s="2"/>
    </row>
    <row r="22" spans="1:6" x14ac:dyDescent="0.3">
      <c r="A22" s="21" t="s">
        <v>349</v>
      </c>
      <c r="B22" s="21">
        <v>8</v>
      </c>
      <c r="C22" s="2" t="s">
        <v>140</v>
      </c>
      <c r="D22" s="117">
        <f>Walls!$B$169</f>
        <v>8</v>
      </c>
      <c r="E22" s="118">
        <f t="shared" si="0"/>
        <v>0</v>
      </c>
      <c r="F22" s="2" t="s">
        <v>1312</v>
      </c>
    </row>
    <row r="23" spans="1:6" x14ac:dyDescent="0.3">
      <c r="A23" s="21" t="s">
        <v>350</v>
      </c>
      <c r="B23" s="21">
        <v>16</v>
      </c>
      <c r="C23" s="2" t="s">
        <v>295</v>
      </c>
      <c r="D23" s="117">
        <f>Walls!$B$170</f>
        <v>16</v>
      </c>
      <c r="E23" s="118">
        <f t="shared" si="0"/>
        <v>0</v>
      </c>
      <c r="F23" s="2"/>
    </row>
    <row r="24" spans="1:6" x14ac:dyDescent="0.3">
      <c r="A24" s="21" t="s">
        <v>351</v>
      </c>
      <c r="B24" s="21">
        <v>60</v>
      </c>
      <c r="C24" s="2" t="s">
        <v>140</v>
      </c>
      <c r="D24" s="117">
        <f>Walls!$B$171</f>
        <v>60</v>
      </c>
      <c r="E24" s="118">
        <f t="shared" si="0"/>
        <v>0</v>
      </c>
      <c r="F24" s="2"/>
    </row>
    <row r="25" spans="1:6" x14ac:dyDescent="0.3">
      <c r="A25" s="21" t="s">
        <v>358</v>
      </c>
      <c r="B25" s="21">
        <v>432</v>
      </c>
      <c r="C25" s="2" t="s">
        <v>295</v>
      </c>
      <c r="D25" s="117">
        <f>Walls!$B$175</f>
        <v>432</v>
      </c>
      <c r="E25" s="118">
        <f t="shared" si="0"/>
        <v>0</v>
      </c>
      <c r="F25" s="2"/>
    </row>
    <row r="26" spans="1:6" x14ac:dyDescent="0.3">
      <c r="A26" s="21" t="s">
        <v>361</v>
      </c>
      <c r="B26" s="21">
        <v>96.332999999999998</v>
      </c>
      <c r="C26" s="2" t="s">
        <v>295</v>
      </c>
      <c r="D26" s="117">
        <f>Walls!$B$178</f>
        <v>96.333333333333329</v>
      </c>
      <c r="E26" s="118">
        <f t="shared" si="0"/>
        <v>3.33333333330188E-4</v>
      </c>
      <c r="F26" s="2" t="s">
        <v>1313</v>
      </c>
    </row>
    <row r="27" spans="1:6" x14ac:dyDescent="0.3">
      <c r="A27" s="21" t="s">
        <v>359</v>
      </c>
      <c r="B27" s="21">
        <v>4</v>
      </c>
      <c r="C27" s="2" t="s">
        <v>140</v>
      </c>
      <c r="D27" s="117">
        <f>Walls!$B$176</f>
        <v>4</v>
      </c>
      <c r="E27" s="118">
        <f t="shared" si="0"/>
        <v>0</v>
      </c>
      <c r="F27" s="2"/>
    </row>
    <row r="28" spans="1:6" x14ac:dyDescent="0.3">
      <c r="A28" s="21" t="s">
        <v>360</v>
      </c>
      <c r="B28" s="21">
        <v>10.75</v>
      </c>
      <c r="C28" s="2" t="s">
        <v>295</v>
      </c>
      <c r="D28" s="117">
        <f>Walls!$B$177</f>
        <v>10.75</v>
      </c>
      <c r="E28" s="118">
        <f t="shared" si="0"/>
        <v>0</v>
      </c>
      <c r="F28" s="2"/>
    </row>
    <row r="29" spans="1:6" x14ac:dyDescent="0.3">
      <c r="A29" s="21" t="s">
        <v>1314</v>
      </c>
      <c r="B29" s="21">
        <v>52</v>
      </c>
      <c r="C29" s="2" t="s">
        <v>295</v>
      </c>
      <c r="D29" s="117">
        <f>Walls!$B$107</f>
        <v>52</v>
      </c>
      <c r="E29" s="118">
        <f t="shared" si="0"/>
        <v>0</v>
      </c>
      <c r="F29" s="2" t="s">
        <v>1315</v>
      </c>
    </row>
    <row r="30" spans="1:6" x14ac:dyDescent="0.3">
      <c r="A30" s="21" t="s">
        <v>1316</v>
      </c>
      <c r="B30" s="21">
        <v>159.083</v>
      </c>
      <c r="C30" s="2" t="s">
        <v>295</v>
      </c>
      <c r="D30" s="117">
        <f>Walls!$B$179</f>
        <v>159.08333333333331</v>
      </c>
      <c r="E30" s="118">
        <f t="shared" si="0"/>
        <v>3.3333333331597714E-4</v>
      </c>
      <c r="F30" s="2"/>
    </row>
    <row r="31" spans="1:6" x14ac:dyDescent="0.3">
      <c r="A31" s="21" t="s">
        <v>1317</v>
      </c>
      <c r="B31" s="21">
        <v>3</v>
      </c>
      <c r="C31" s="2" t="s">
        <v>140</v>
      </c>
      <c r="D31" s="117">
        <f>Walls!$B$118</f>
        <v>3</v>
      </c>
      <c r="E31" s="118">
        <f t="shared" si="0"/>
        <v>0</v>
      </c>
      <c r="F31" s="2" t="s">
        <v>1318</v>
      </c>
    </row>
    <row r="32" spans="1:6" x14ac:dyDescent="0.3">
      <c r="A32" s="21" t="s">
        <v>364</v>
      </c>
      <c r="B32" s="21">
        <v>123.5</v>
      </c>
      <c r="C32" s="2" t="s">
        <v>295</v>
      </c>
      <c r="D32" s="117">
        <f>Walls!$B$180</f>
        <v>123.5</v>
      </c>
      <c r="E32" s="118">
        <f t="shared" si="0"/>
        <v>0</v>
      </c>
      <c r="F32" s="2" t="s">
        <v>1319</v>
      </c>
    </row>
    <row r="33" spans="1:6" x14ac:dyDescent="0.3">
      <c r="A33" s="21" t="s">
        <v>366</v>
      </c>
      <c r="B33" s="21">
        <v>166</v>
      </c>
      <c r="C33" s="2" t="s">
        <v>140</v>
      </c>
      <c r="D33" s="117">
        <f>Walls!$B$181</f>
        <v>166</v>
      </c>
      <c r="E33" s="118">
        <f t="shared" si="0"/>
        <v>0</v>
      </c>
      <c r="F33" s="2" t="s">
        <v>1320</v>
      </c>
    </row>
    <row r="34" spans="1:6" x14ac:dyDescent="0.3">
      <c r="A34" s="21" t="s">
        <v>440</v>
      </c>
      <c r="B34" s="21">
        <v>332</v>
      </c>
      <c r="C34" s="2" t="s">
        <v>140</v>
      </c>
      <c r="D34" s="117">
        <f>Walls!$B$181*Walls!$B$33</f>
        <v>332</v>
      </c>
      <c r="E34" s="118">
        <f t="shared" si="0"/>
        <v>0</v>
      </c>
      <c r="F34" s="2"/>
    </row>
    <row r="35" spans="1:6" x14ac:dyDescent="0.3">
      <c r="A35" s="21" t="s">
        <v>1321</v>
      </c>
      <c r="B35" s="21">
        <v>480</v>
      </c>
      <c r="C35" s="2" t="s">
        <v>140</v>
      </c>
      <c r="D35" s="117">
        <f>Walls!$B$182*2*Walls!$B$34</f>
        <v>480</v>
      </c>
      <c r="E35" s="118">
        <f t="shared" si="0"/>
        <v>0</v>
      </c>
      <c r="F35" s="2"/>
    </row>
    <row r="36" spans="1:6" x14ac:dyDescent="0.3">
      <c r="A36" s="21" t="s">
        <v>1322</v>
      </c>
      <c r="B36" s="21">
        <v>112</v>
      </c>
      <c r="C36" s="2" t="s">
        <v>140</v>
      </c>
      <c r="D36" s="117">
        <f>Walls!$B$86*Walls!$B$35</f>
        <v>112</v>
      </c>
      <c r="E36" s="118">
        <f t="shared" si="0"/>
        <v>0</v>
      </c>
      <c r="F36" s="2"/>
    </row>
    <row r="37" spans="1:6" x14ac:dyDescent="0.3">
      <c r="A37" s="21" t="s">
        <v>1323</v>
      </c>
      <c r="B37" s="21">
        <v>168</v>
      </c>
      <c r="C37" s="2" t="s">
        <v>140</v>
      </c>
      <c r="D37" s="117">
        <f>Walls!$B$86*Walls!$B$36</f>
        <v>168</v>
      </c>
      <c r="E37" s="118">
        <f t="shared" si="0"/>
        <v>0</v>
      </c>
      <c r="F37" s="2"/>
    </row>
    <row r="38" spans="1:6" x14ac:dyDescent="0.3">
      <c r="A38" s="21" t="s">
        <v>1324</v>
      </c>
      <c r="B38" s="21">
        <v>28</v>
      </c>
      <c r="C38" s="2" t="s">
        <v>140</v>
      </c>
      <c r="D38" s="117">
        <f>Walls!$B$86*Walls!$B$37</f>
        <v>28</v>
      </c>
      <c r="E38" s="118">
        <f t="shared" si="0"/>
        <v>0</v>
      </c>
      <c r="F38" s="2" t="s">
        <v>1325</v>
      </c>
    </row>
    <row r="39" spans="1:6" x14ac:dyDescent="0.3">
      <c r="A39" s="21" t="s">
        <v>1326</v>
      </c>
      <c r="B39" s="21">
        <v>683.33299999999997</v>
      </c>
      <c r="C39" s="2" t="s">
        <v>292</v>
      </c>
      <c r="D39" s="117">
        <f>Walls!$B$112*Walls!$B$32</f>
        <v>683.33333333333326</v>
      </c>
      <c r="E39" s="118">
        <f t="shared" si="0"/>
        <v>3.3333333328755543E-4</v>
      </c>
      <c r="F39" s="2" t="s">
        <v>1327</v>
      </c>
    </row>
    <row r="40" spans="1:6" x14ac:dyDescent="0.3">
      <c r="A40" s="21" t="s">
        <v>1328</v>
      </c>
      <c r="B40" s="21">
        <v>14</v>
      </c>
      <c r="C40" s="2" t="s">
        <v>140</v>
      </c>
      <c r="D40" s="117">
        <f>Walls!$B$186</f>
        <v>14</v>
      </c>
      <c r="E40" s="118">
        <f t="shared" si="0"/>
        <v>0</v>
      </c>
      <c r="F40" s="2" t="s">
        <v>1329</v>
      </c>
    </row>
    <row r="41" spans="1:6" x14ac:dyDescent="0.3">
      <c r="A41" s="21" t="s">
        <v>372</v>
      </c>
      <c r="B41" s="21">
        <v>85</v>
      </c>
      <c r="C41" s="2" t="s">
        <v>295</v>
      </c>
      <c r="D41" s="117">
        <f>Walls!$B$187</f>
        <v>85.000000000000014</v>
      </c>
      <c r="E41" s="118">
        <f t="shared" si="0"/>
        <v>0</v>
      </c>
      <c r="F41" s="2" t="s">
        <v>1330</v>
      </c>
    </row>
    <row r="42" spans="1:6" x14ac:dyDescent="0.3">
      <c r="A42" s="21" t="s">
        <v>1331</v>
      </c>
      <c r="B42" s="21">
        <v>8</v>
      </c>
      <c r="C42" s="2" t="s">
        <v>295</v>
      </c>
      <c r="D42" s="117">
        <f>Walls!$B$188</f>
        <v>8</v>
      </c>
      <c r="E42" s="118">
        <f t="shared" si="0"/>
        <v>0</v>
      </c>
      <c r="F42" s="2" t="s">
        <v>1332</v>
      </c>
    </row>
    <row r="43" spans="1:6" x14ac:dyDescent="0.3">
      <c r="A43" s="21" t="s">
        <v>1333</v>
      </c>
      <c r="B43" s="21">
        <v>6.4</v>
      </c>
      <c r="C43" s="2" t="s">
        <v>295</v>
      </c>
      <c r="D43" s="117">
        <f>Walls!$B$189</f>
        <v>6.4000000000000012</v>
      </c>
      <c r="E43" s="118">
        <f t="shared" si="0"/>
        <v>0</v>
      </c>
      <c r="F43" s="2"/>
    </row>
    <row r="44" spans="1:6" x14ac:dyDescent="0.3">
      <c r="A44" s="21" t="s">
        <v>392</v>
      </c>
      <c r="B44" s="21">
        <v>128</v>
      </c>
      <c r="C44" s="2" t="s">
        <v>292</v>
      </c>
      <c r="D44" s="117">
        <f>Walls!$B$197</f>
        <v>128</v>
      </c>
      <c r="E44" s="118">
        <f t="shared" si="0"/>
        <v>0</v>
      </c>
      <c r="F44" s="2" t="s">
        <v>1334</v>
      </c>
    </row>
    <row r="45" spans="1:6" x14ac:dyDescent="0.3">
      <c r="A45" s="21" t="s">
        <v>1335</v>
      </c>
      <c r="B45" s="21">
        <v>96</v>
      </c>
      <c r="C45" s="2" t="s">
        <v>295</v>
      </c>
      <c r="D45" s="117">
        <f>Walls!$B$198</f>
        <v>96</v>
      </c>
      <c r="E45" s="118">
        <f t="shared" si="0"/>
        <v>0</v>
      </c>
      <c r="F45" s="2"/>
    </row>
    <row r="46" spans="1:6" x14ac:dyDescent="0.3">
      <c r="A46" s="21" t="s">
        <v>396</v>
      </c>
      <c r="B46" s="21">
        <v>4</v>
      </c>
      <c r="C46" s="2" t="s">
        <v>140</v>
      </c>
      <c r="D46" s="117">
        <f>Walls!$B$199</f>
        <v>4</v>
      </c>
      <c r="E46" s="118">
        <f t="shared" si="0"/>
        <v>0</v>
      </c>
      <c r="F46" s="2"/>
    </row>
    <row r="47" spans="1:6" x14ac:dyDescent="0.3">
      <c r="A47" s="21" t="s">
        <v>1336</v>
      </c>
      <c r="B47" s="21"/>
      <c r="C47" s="2"/>
      <c r="F47" s="2" t="s">
        <v>1337</v>
      </c>
    </row>
    <row r="48" spans="1:6" x14ac:dyDescent="0.3">
      <c r="A48" s="21" t="s">
        <v>1338</v>
      </c>
      <c r="B48" s="21">
        <v>180</v>
      </c>
      <c r="C48" s="2" t="s">
        <v>145</v>
      </c>
      <c r="D48" s="117">
        <f>Roof!$B$63</f>
        <v>180</v>
      </c>
      <c r="E48" s="118">
        <f t="shared" ref="E48:E68" si="1">D48-B48</f>
        <v>0</v>
      </c>
      <c r="F48" s="2" t="s">
        <v>1339</v>
      </c>
    </row>
    <row r="49" spans="1:6" x14ac:dyDescent="0.3">
      <c r="A49" s="21" t="s">
        <v>1340</v>
      </c>
      <c r="B49" s="21">
        <v>144</v>
      </c>
      <c r="C49" s="2" t="s">
        <v>145</v>
      </c>
      <c r="D49" s="117">
        <f>Roof!$B$64</f>
        <v>144</v>
      </c>
      <c r="E49" s="118">
        <f t="shared" si="1"/>
        <v>0</v>
      </c>
      <c r="F49" s="2" t="s">
        <v>1341</v>
      </c>
    </row>
    <row r="50" spans="1:6" x14ac:dyDescent="0.3">
      <c r="A50" s="21" t="s">
        <v>1342</v>
      </c>
      <c r="B50" s="21">
        <v>1</v>
      </c>
      <c r="C50" s="2" t="s">
        <v>140</v>
      </c>
      <c r="D50" s="117">
        <f>Roof!$B$65</f>
        <v>1</v>
      </c>
      <c r="E50" s="118">
        <f t="shared" si="1"/>
        <v>0</v>
      </c>
      <c r="F50" s="2" t="s">
        <v>1343</v>
      </c>
    </row>
    <row r="51" spans="1:6" x14ac:dyDescent="0.3">
      <c r="A51" s="21" t="s">
        <v>1344</v>
      </c>
      <c r="B51" s="21">
        <v>0</v>
      </c>
      <c r="C51" s="2" t="s">
        <v>145</v>
      </c>
      <c r="D51" s="117">
        <f>Roof!$B$60</f>
        <v>0</v>
      </c>
      <c r="E51" s="118">
        <f t="shared" si="1"/>
        <v>0</v>
      </c>
      <c r="F51" s="2" t="s">
        <v>1345</v>
      </c>
    </row>
    <row r="52" spans="1:6" x14ac:dyDescent="0.3">
      <c r="A52" s="21" t="s">
        <v>1346</v>
      </c>
      <c r="B52" s="21">
        <v>0.375</v>
      </c>
      <c r="C52" s="2" t="s">
        <v>145</v>
      </c>
      <c r="D52" s="117">
        <f>Roof!$B$67</f>
        <v>0.375</v>
      </c>
      <c r="E52" s="118">
        <f t="shared" si="1"/>
        <v>0</v>
      </c>
      <c r="F52" s="2"/>
    </row>
    <row r="53" spans="1:6" x14ac:dyDescent="0.3">
      <c r="A53" s="21" t="s">
        <v>1347</v>
      </c>
      <c r="B53" s="21">
        <v>180</v>
      </c>
      <c r="C53" s="2" t="s">
        <v>292</v>
      </c>
      <c r="D53" s="117">
        <f>Roof!$B$70</f>
        <v>180</v>
      </c>
      <c r="E53" s="118">
        <f t="shared" si="1"/>
        <v>0</v>
      </c>
      <c r="F53" s="2"/>
    </row>
    <row r="54" spans="1:6" x14ac:dyDescent="0.3">
      <c r="A54" s="21" t="s">
        <v>652</v>
      </c>
      <c r="B54" s="21">
        <v>180</v>
      </c>
      <c r="C54" s="2" t="s">
        <v>145</v>
      </c>
      <c r="D54" s="117">
        <f>Roof!$B$68</f>
        <v>180</v>
      </c>
      <c r="E54" s="118">
        <f t="shared" si="1"/>
        <v>0</v>
      </c>
      <c r="F54" s="2"/>
    </row>
    <row r="55" spans="1:6" x14ac:dyDescent="0.3">
      <c r="A55" s="21" t="s">
        <v>1348</v>
      </c>
      <c r="B55" s="21">
        <v>144</v>
      </c>
      <c r="C55" s="2" t="s">
        <v>145</v>
      </c>
      <c r="D55" s="117">
        <f>Roof!$B$69</f>
        <v>144</v>
      </c>
      <c r="E55" s="118">
        <f t="shared" si="1"/>
        <v>0</v>
      </c>
      <c r="F55" s="2" t="s">
        <v>1349</v>
      </c>
    </row>
    <row r="56" spans="1:6" x14ac:dyDescent="0.3">
      <c r="A56" s="21" t="s">
        <v>1350</v>
      </c>
      <c r="B56" s="21">
        <v>13</v>
      </c>
      <c r="C56" s="2" t="s">
        <v>140</v>
      </c>
      <c r="D56" s="117">
        <f>Roof!$B$71</f>
        <v>13</v>
      </c>
      <c r="E56" s="118">
        <f t="shared" si="1"/>
        <v>0</v>
      </c>
      <c r="F56" s="2"/>
    </row>
    <row r="57" spans="1:6" x14ac:dyDescent="0.3">
      <c r="A57" s="21" t="s">
        <v>1351</v>
      </c>
      <c r="B57" s="21">
        <v>156</v>
      </c>
      <c r="C57" s="2" t="s">
        <v>295</v>
      </c>
      <c r="D57" s="117">
        <f>Roof!$B$75</f>
        <v>156</v>
      </c>
      <c r="E57" s="118">
        <f t="shared" si="1"/>
        <v>0</v>
      </c>
      <c r="F57" s="2" t="s">
        <v>1352</v>
      </c>
    </row>
    <row r="58" spans="1:6" x14ac:dyDescent="0.3">
      <c r="A58" s="21" t="s">
        <v>1353</v>
      </c>
      <c r="B58" s="21">
        <v>4</v>
      </c>
      <c r="C58" s="2" t="s">
        <v>140</v>
      </c>
      <c r="D58" s="117">
        <f>Roof!$B$72</f>
        <v>4</v>
      </c>
      <c r="E58" s="118">
        <f t="shared" si="1"/>
        <v>0</v>
      </c>
      <c r="F58" s="2"/>
    </row>
    <row r="59" spans="1:6" x14ac:dyDescent="0.3">
      <c r="A59" s="21" t="s">
        <v>669</v>
      </c>
      <c r="B59" s="21">
        <v>60</v>
      </c>
      <c r="C59" s="2" t="s">
        <v>295</v>
      </c>
      <c r="D59" s="117">
        <f>Roof!$B$77</f>
        <v>60</v>
      </c>
      <c r="E59" s="118">
        <f t="shared" si="1"/>
        <v>0</v>
      </c>
      <c r="F59" s="2"/>
    </row>
    <row r="60" spans="1:6" x14ac:dyDescent="0.3">
      <c r="A60" s="21" t="s">
        <v>1354</v>
      </c>
      <c r="B60" s="21">
        <v>30</v>
      </c>
      <c r="C60" s="2" t="s">
        <v>295</v>
      </c>
      <c r="D60" s="117">
        <f>Roof!$B$76</f>
        <v>30</v>
      </c>
      <c r="E60" s="118">
        <f t="shared" si="1"/>
        <v>0</v>
      </c>
      <c r="F60" s="2"/>
    </row>
    <row r="61" spans="1:6" x14ac:dyDescent="0.3">
      <c r="A61" s="21" t="s">
        <v>1355</v>
      </c>
      <c r="B61" s="21">
        <v>52</v>
      </c>
      <c r="C61" s="2" t="s">
        <v>140</v>
      </c>
      <c r="D61" s="117">
        <f>Roof!$B$78</f>
        <v>52</v>
      </c>
      <c r="E61" s="118">
        <f t="shared" si="1"/>
        <v>0</v>
      </c>
      <c r="F61" s="2"/>
    </row>
    <row r="62" spans="1:6" x14ac:dyDescent="0.3">
      <c r="A62" s="21" t="s">
        <v>1356</v>
      </c>
      <c r="B62" s="21">
        <v>104</v>
      </c>
      <c r="C62" s="2" t="s">
        <v>140</v>
      </c>
      <c r="D62" s="117">
        <f>Roof!$B$78*Roof!$B$25</f>
        <v>104</v>
      </c>
      <c r="E62" s="118">
        <f t="shared" si="1"/>
        <v>0</v>
      </c>
      <c r="F62" s="2"/>
    </row>
    <row r="63" spans="1:6" x14ac:dyDescent="0.3">
      <c r="A63" s="21" t="s">
        <v>672</v>
      </c>
      <c r="B63" s="21">
        <v>8</v>
      </c>
      <c r="C63" s="2" t="s">
        <v>140</v>
      </c>
      <c r="D63" s="117">
        <f>Roof!$B$79</f>
        <v>8</v>
      </c>
      <c r="E63" s="118">
        <f t="shared" si="1"/>
        <v>0</v>
      </c>
      <c r="F63" s="2"/>
    </row>
    <row r="64" spans="1:6" x14ac:dyDescent="0.3">
      <c r="A64" s="21" t="s">
        <v>630</v>
      </c>
      <c r="B64" s="21">
        <v>3.6110000000000002</v>
      </c>
      <c r="C64" s="2" t="s">
        <v>379</v>
      </c>
      <c r="D64" s="117">
        <f>Roof!$B$80</f>
        <v>3.6111111111111112</v>
      </c>
      <c r="E64" s="118">
        <f t="shared" si="1"/>
        <v>1.1111111111095084E-4</v>
      </c>
      <c r="F64" s="2" t="s">
        <v>1357</v>
      </c>
    </row>
    <row r="65" spans="1:6" x14ac:dyDescent="0.3">
      <c r="A65" s="21" t="s">
        <v>632</v>
      </c>
      <c r="B65" s="21">
        <v>2.9860000000000002</v>
      </c>
      <c r="C65" s="2" t="s">
        <v>379</v>
      </c>
      <c r="D65" s="117">
        <f>Roof!$B$81</f>
        <v>2.9861111111111112</v>
      </c>
      <c r="E65" s="118">
        <f t="shared" si="1"/>
        <v>1.1111111111095084E-4</v>
      </c>
      <c r="F65" s="2" t="s">
        <v>1358</v>
      </c>
    </row>
    <row r="66" spans="1:6" x14ac:dyDescent="0.3">
      <c r="A66" s="21" t="s">
        <v>1359</v>
      </c>
      <c r="B66" s="21">
        <v>6.5970000000000004</v>
      </c>
      <c r="C66" s="2" t="s">
        <v>379</v>
      </c>
      <c r="D66" s="117">
        <f>Roof!$B$82</f>
        <v>6.5972222222222223</v>
      </c>
      <c r="E66" s="118">
        <f t="shared" si="1"/>
        <v>2.2222222222190169E-4</v>
      </c>
      <c r="F66" s="2" t="s">
        <v>1360</v>
      </c>
    </row>
    <row r="67" spans="1:6" x14ac:dyDescent="0.3">
      <c r="A67" s="21" t="s">
        <v>1361</v>
      </c>
      <c r="B67" s="21">
        <v>4132.5</v>
      </c>
      <c r="C67" s="2" t="s">
        <v>224</v>
      </c>
      <c r="D67" s="117">
        <f>Roof!$B$83</f>
        <v>4132.5</v>
      </c>
      <c r="E67" s="118">
        <f t="shared" si="1"/>
        <v>0</v>
      </c>
      <c r="F67" s="2"/>
    </row>
    <row r="68" spans="1:6" x14ac:dyDescent="0.3">
      <c r="A68" s="21" t="s">
        <v>1362</v>
      </c>
      <c r="B68" s="21">
        <v>0</v>
      </c>
      <c r="C68" s="2" t="s">
        <v>379</v>
      </c>
      <c r="D68" s="117">
        <f>Roof!$B$84</f>
        <v>0</v>
      </c>
      <c r="E68" s="118">
        <f t="shared" si="1"/>
        <v>0</v>
      </c>
      <c r="F68" s="2" t="s">
        <v>1345</v>
      </c>
    </row>
    <row r="69" spans="1:6" x14ac:dyDescent="0.3">
      <c r="A69" s="6" t="s">
        <v>1363</v>
      </c>
      <c r="B69" s="21"/>
      <c r="C69" s="2"/>
      <c r="F69" s="2" t="s">
        <v>1364</v>
      </c>
    </row>
    <row r="70" spans="1:6" x14ac:dyDescent="0.3">
      <c r="A70" s="21" t="s">
        <v>1365</v>
      </c>
      <c r="B70" s="21">
        <v>168</v>
      </c>
      <c r="C70" s="2" t="s">
        <v>292</v>
      </c>
      <c r="D70" s="117">
        <f>'Floor panel'!$B$8</f>
        <v>168</v>
      </c>
      <c r="E70" s="118">
        <f>D70-B70</f>
        <v>0</v>
      </c>
      <c r="F70" s="2" t="s">
        <v>1366</v>
      </c>
    </row>
    <row r="71" spans="1:6" x14ac:dyDescent="0.3">
      <c r="A71" s="21" t="s">
        <v>1367</v>
      </c>
      <c r="B71" s="21">
        <v>52</v>
      </c>
      <c r="C71" s="2" t="s">
        <v>295</v>
      </c>
      <c r="D71" s="117">
        <f>'Floor panel'!$B$9</f>
        <v>52</v>
      </c>
      <c r="E71" s="118">
        <f>D71-B71</f>
        <v>0</v>
      </c>
      <c r="F71" s="2"/>
    </row>
    <row r="72" spans="1:6" x14ac:dyDescent="0.3">
      <c r="A72" s="21" t="s">
        <v>986</v>
      </c>
      <c r="B72" s="21">
        <v>3857</v>
      </c>
      <c r="C72" s="2" t="s">
        <v>224</v>
      </c>
      <c r="D72" s="117">
        <f>'Floor panel'!$B$50</f>
        <v>3857</v>
      </c>
      <c r="E72" s="118">
        <f>D72-B72</f>
        <v>0</v>
      </c>
      <c r="F72" s="2" t="s">
        <v>1368</v>
      </c>
    </row>
    <row r="73" spans="1:6" x14ac:dyDescent="0.3">
      <c r="A73" s="21" t="s">
        <v>1369</v>
      </c>
      <c r="B73" s="21">
        <v>2</v>
      </c>
      <c r="C73" s="2" t="s">
        <v>140</v>
      </c>
      <c r="F73" s="2" t="s">
        <v>1370</v>
      </c>
    </row>
    <row r="74" spans="1:6" x14ac:dyDescent="0.3">
      <c r="A74" s="21" t="s">
        <v>1371</v>
      </c>
      <c r="B74" s="21"/>
      <c r="C74" s="2"/>
      <c r="F74" s="2" t="s">
        <v>1372</v>
      </c>
    </row>
    <row r="75" spans="1:6" x14ac:dyDescent="0.3">
      <c r="A75" s="21" t="s">
        <v>911</v>
      </c>
      <c r="B75" s="21">
        <v>2</v>
      </c>
      <c r="C75" s="2" t="s">
        <v>140</v>
      </c>
      <c r="D75" s="117">
        <f>Skid!$B$46</f>
        <v>2</v>
      </c>
      <c r="E75" s="118">
        <f t="shared" ref="E75:E84" si="2">D75-B75</f>
        <v>0</v>
      </c>
      <c r="F75" s="2"/>
    </row>
    <row r="76" spans="1:6" x14ac:dyDescent="0.3">
      <c r="A76" s="21" t="s">
        <v>1373</v>
      </c>
      <c r="B76" s="21">
        <v>28</v>
      </c>
      <c r="C76" s="2" t="s">
        <v>295</v>
      </c>
      <c r="D76" s="117">
        <f>Skid!$B$48</f>
        <v>28</v>
      </c>
      <c r="E76" s="118">
        <f t="shared" si="2"/>
        <v>0</v>
      </c>
      <c r="F76" s="2"/>
    </row>
    <row r="77" spans="1:6" x14ac:dyDescent="0.3">
      <c r="A77" s="21" t="s">
        <v>925</v>
      </c>
      <c r="B77" s="21">
        <v>406.84</v>
      </c>
      <c r="C77" s="2" t="s">
        <v>224</v>
      </c>
      <c r="D77" s="117">
        <f>Skid!$B$54</f>
        <v>406.84</v>
      </c>
      <c r="E77" s="118">
        <f t="shared" si="2"/>
        <v>0</v>
      </c>
      <c r="F77" s="2"/>
    </row>
    <row r="78" spans="1:6" x14ac:dyDescent="0.3">
      <c r="A78" s="21" t="s">
        <v>918</v>
      </c>
      <c r="B78" s="21">
        <v>5</v>
      </c>
      <c r="C78" s="2" t="s">
        <v>140</v>
      </c>
      <c r="D78" s="117">
        <f>Skid!$B$50</f>
        <v>5</v>
      </c>
      <c r="E78" s="118">
        <f t="shared" si="2"/>
        <v>0</v>
      </c>
      <c r="F78" s="2" t="s">
        <v>1374</v>
      </c>
    </row>
    <row r="79" spans="1:6" x14ac:dyDescent="0.3">
      <c r="A79" s="21" t="s">
        <v>920</v>
      </c>
      <c r="B79" s="21">
        <v>136</v>
      </c>
      <c r="C79" s="2" t="s">
        <v>145</v>
      </c>
      <c r="D79" s="117">
        <f>Skid!$B$51</f>
        <v>136</v>
      </c>
      <c r="E79" s="118">
        <f t="shared" si="2"/>
        <v>0</v>
      </c>
      <c r="F79" s="2"/>
    </row>
    <row r="80" spans="1:6" x14ac:dyDescent="0.3">
      <c r="A80" s="21" t="s">
        <v>926</v>
      </c>
      <c r="B80" s="21">
        <v>691.9</v>
      </c>
      <c r="C80" s="2" t="s">
        <v>224</v>
      </c>
      <c r="D80" s="117">
        <f>Skid!$B$55</f>
        <v>691.9</v>
      </c>
      <c r="E80" s="118">
        <f t="shared" si="2"/>
        <v>0</v>
      </c>
      <c r="F80" s="2"/>
    </row>
    <row r="81" spans="1:6" x14ac:dyDescent="0.3">
      <c r="A81" s="21" t="s">
        <v>927</v>
      </c>
      <c r="B81" s="21">
        <v>1073.76</v>
      </c>
      <c r="C81" s="2" t="s">
        <v>224</v>
      </c>
      <c r="D81" s="117">
        <f>Skid!$B$56</f>
        <v>1073.76</v>
      </c>
      <c r="E81" s="118">
        <f t="shared" si="2"/>
        <v>0</v>
      </c>
      <c r="F81" s="2"/>
    </row>
    <row r="82" spans="1:6" x14ac:dyDescent="0.3">
      <c r="A82" s="21" t="s">
        <v>929</v>
      </c>
      <c r="B82" s="21">
        <v>2220.5</v>
      </c>
      <c r="C82" s="2" t="s">
        <v>224</v>
      </c>
      <c r="D82" s="117">
        <f>Skid!$B$58</f>
        <v>2220.5</v>
      </c>
      <c r="E82" s="118">
        <f t="shared" si="2"/>
        <v>0</v>
      </c>
      <c r="F82" s="2" t="s">
        <v>1375</v>
      </c>
    </row>
    <row r="83" spans="1:6" x14ac:dyDescent="0.3">
      <c r="A83" s="21" t="s">
        <v>931</v>
      </c>
      <c r="B83" s="21">
        <v>37.332999999999998</v>
      </c>
      <c r="C83" s="2" t="s">
        <v>585</v>
      </c>
      <c r="D83" s="117">
        <f>Skid!$B$59</f>
        <v>37.333333333333336</v>
      </c>
      <c r="E83" s="118">
        <f t="shared" si="2"/>
        <v>3.3333333333729342E-4</v>
      </c>
      <c r="F83" s="2"/>
    </row>
    <row r="84" spans="1:6" x14ac:dyDescent="0.3">
      <c r="A84" s="21" t="s">
        <v>1376</v>
      </c>
      <c r="B84" s="21">
        <v>239.55600000000001</v>
      </c>
      <c r="C84" s="2" t="s">
        <v>292</v>
      </c>
      <c r="D84" s="117">
        <f>Skid!$B$60</f>
        <v>239.55555555555557</v>
      </c>
      <c r="E84" s="118">
        <f t="shared" si="2"/>
        <v>-4.4444444444025066E-4</v>
      </c>
      <c r="F84" s="2"/>
    </row>
    <row r="85" spans="1:6" x14ac:dyDescent="0.3">
      <c r="A85" s="6" t="s">
        <v>1377</v>
      </c>
      <c r="B85" s="21"/>
      <c r="C85" s="2"/>
      <c r="F85" s="2" t="s">
        <v>1378</v>
      </c>
    </row>
    <row r="86" spans="1:6" x14ac:dyDescent="0.3">
      <c r="A86" s="21" t="s">
        <v>982</v>
      </c>
      <c r="B86" s="21">
        <v>11844.444</v>
      </c>
      <c r="C86" s="2" t="s">
        <v>224</v>
      </c>
      <c r="D86" s="117">
        <f>Skid!$B$96</f>
        <v>11844.444444444443</v>
      </c>
      <c r="E86" s="118">
        <f t="shared" ref="E86:E95" si="3">D86-B86</f>
        <v>4.4444444392865989E-4</v>
      </c>
      <c r="F86" s="2"/>
    </row>
    <row r="87" spans="1:6" x14ac:dyDescent="0.3">
      <c r="A87" s="21" t="s">
        <v>984</v>
      </c>
      <c r="B87" s="21">
        <v>6954.375</v>
      </c>
      <c r="C87" s="2" t="s">
        <v>224</v>
      </c>
      <c r="D87" s="117">
        <f>Skid!$B$97</f>
        <v>6954.375</v>
      </c>
      <c r="E87" s="118">
        <f t="shared" si="3"/>
        <v>0</v>
      </c>
      <c r="F87" s="2"/>
    </row>
    <row r="88" spans="1:6" x14ac:dyDescent="0.3">
      <c r="A88" s="21" t="s">
        <v>986</v>
      </c>
      <c r="B88" s="21">
        <v>3857</v>
      </c>
      <c r="C88" s="2" t="s">
        <v>224</v>
      </c>
      <c r="D88" s="117">
        <f>Skid!$B$98</f>
        <v>3857</v>
      </c>
      <c r="E88" s="118">
        <f t="shared" si="3"/>
        <v>0</v>
      </c>
      <c r="F88" s="2"/>
    </row>
    <row r="89" spans="1:6" x14ac:dyDescent="0.3">
      <c r="A89" s="21" t="s">
        <v>1379</v>
      </c>
      <c r="B89" s="21">
        <v>2220.5</v>
      </c>
      <c r="C89" s="2" t="s">
        <v>224</v>
      </c>
      <c r="D89" s="117">
        <f>Skid!$B$99</f>
        <v>2220.5</v>
      </c>
      <c r="E89" s="118">
        <f t="shared" si="3"/>
        <v>0</v>
      </c>
      <c r="F89" s="2"/>
    </row>
    <row r="90" spans="1:6" x14ac:dyDescent="0.3">
      <c r="A90" s="21" t="s">
        <v>87</v>
      </c>
      <c r="B90" s="21">
        <v>26076.319</v>
      </c>
      <c r="C90" s="2" t="s">
        <v>224</v>
      </c>
      <c r="D90" s="117">
        <f>Skid!$B$101</f>
        <v>26076.319444444445</v>
      </c>
      <c r="E90" s="118">
        <f t="shared" si="3"/>
        <v>4.444444457476493E-4</v>
      </c>
      <c r="F90" s="2" t="s">
        <v>1380</v>
      </c>
    </row>
    <row r="91" spans="1:6" x14ac:dyDescent="0.3">
      <c r="A91" s="21" t="s">
        <v>91</v>
      </c>
      <c r="B91" s="21">
        <v>27380.134999999998</v>
      </c>
      <c r="C91" s="2" t="s">
        <v>224</v>
      </c>
      <c r="D91" s="117">
        <f>Skid!$B$102</f>
        <v>27380.135416666668</v>
      </c>
      <c r="E91" s="118">
        <f t="shared" si="3"/>
        <v>4.1666666948003694E-4</v>
      </c>
      <c r="F91" s="2"/>
    </row>
    <row r="92" spans="1:6" x14ac:dyDescent="0.3">
      <c r="A92" s="21" t="s">
        <v>1381</v>
      </c>
      <c r="B92" s="21">
        <v>144</v>
      </c>
      <c r="C92" s="2" t="s">
        <v>145</v>
      </c>
      <c r="D92" s="117">
        <f>Skid!$B$105</f>
        <v>144</v>
      </c>
      <c r="E92" s="118">
        <f t="shared" si="3"/>
        <v>0</v>
      </c>
      <c r="F92" s="2" t="s">
        <v>1382</v>
      </c>
    </row>
    <row r="93" spans="1:6" x14ac:dyDescent="0.3">
      <c r="A93" s="21" t="s">
        <v>81</v>
      </c>
      <c r="B93" s="21">
        <v>180</v>
      </c>
      <c r="C93" s="2" t="s">
        <v>145</v>
      </c>
      <c r="D93" s="117">
        <f>Skid!$B$108</f>
        <v>180</v>
      </c>
      <c r="E93" s="118">
        <f t="shared" si="3"/>
        <v>0</v>
      </c>
      <c r="F93" s="2"/>
    </row>
    <row r="94" spans="1:6" x14ac:dyDescent="0.3">
      <c r="A94" s="21" t="s">
        <v>1383</v>
      </c>
      <c r="B94" s="21">
        <v>113.5</v>
      </c>
      <c r="C94" s="2" t="s">
        <v>145</v>
      </c>
      <c r="D94" s="117">
        <f>Skid!$B$110</f>
        <v>113.5</v>
      </c>
      <c r="E94" s="118">
        <f t="shared" si="3"/>
        <v>0</v>
      </c>
      <c r="F94" s="2"/>
    </row>
    <row r="95" spans="1:6" x14ac:dyDescent="0.3">
      <c r="A95" s="21" t="s">
        <v>1003</v>
      </c>
      <c r="B95" s="21">
        <v>135.5</v>
      </c>
      <c r="C95" s="2" t="s">
        <v>145</v>
      </c>
      <c r="D95" s="117">
        <f>Skid!$B$111</f>
        <v>135.5</v>
      </c>
      <c r="E95" s="118">
        <f t="shared" si="3"/>
        <v>0</v>
      </c>
      <c r="F95" s="2" t="s">
        <v>1384</v>
      </c>
    </row>
  </sheetData>
  <hyperlinks>
    <hyperlink ref="A3" location="'Summary'!A1" display="← Summary"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5"/>
  <sheetViews>
    <sheetView workbookViewId="0"/>
  </sheetViews>
  <sheetFormatPr defaultRowHeight="14.4" x14ac:dyDescent="0.3"/>
  <cols>
    <col min="1" max="1" width="140" customWidth="1"/>
  </cols>
  <sheetData>
    <row r="1" spans="1:1" x14ac:dyDescent="0.3">
      <c r="A1" s="119" t="s">
        <v>1385</v>
      </c>
    </row>
    <row r="2" spans="1:1" ht="66" x14ac:dyDescent="0.3">
      <c r="A2" s="120" t="s">
        <v>1386</v>
      </c>
    </row>
    <row r="3" spans="1:1" ht="39.6" x14ac:dyDescent="0.3">
      <c r="A3" s="120" t="s">
        <v>1387</v>
      </c>
    </row>
    <row r="4" spans="1:1" x14ac:dyDescent="0.3">
      <c r="A4" s="120"/>
    </row>
    <row r="5" spans="1:1" x14ac:dyDescent="0.3">
      <c r="A5" s="119" t="s">
        <v>1388</v>
      </c>
    </row>
    <row r="6" spans="1:1" ht="52.8" x14ac:dyDescent="0.3">
      <c r="A6" s="120" t="s">
        <v>1389</v>
      </c>
    </row>
    <row r="7" spans="1:1" ht="52.8" x14ac:dyDescent="0.3">
      <c r="A7" s="120" t="s">
        <v>1390</v>
      </c>
    </row>
    <row r="8" spans="1:1" ht="26.4" x14ac:dyDescent="0.3">
      <c r="A8" s="120" t="s">
        <v>1391</v>
      </c>
    </row>
    <row r="9" spans="1:1" ht="52.8" x14ac:dyDescent="0.3">
      <c r="A9" s="120" t="s">
        <v>1392</v>
      </c>
    </row>
    <row r="10" spans="1:1" ht="52.8" x14ac:dyDescent="0.3">
      <c r="A10" s="120" t="s">
        <v>1393</v>
      </c>
    </row>
    <row r="11" spans="1:1" ht="39.6" x14ac:dyDescent="0.3">
      <c r="A11" s="120" t="s">
        <v>1394</v>
      </c>
    </row>
    <row r="12" spans="1:1" ht="52.8" x14ac:dyDescent="0.3">
      <c r="A12" s="120" t="s">
        <v>1395</v>
      </c>
    </row>
    <row r="13" spans="1:1" ht="39.6" x14ac:dyDescent="0.3">
      <c r="A13" s="120" t="s">
        <v>1396</v>
      </c>
    </row>
    <row r="14" spans="1:1" x14ac:dyDescent="0.3">
      <c r="A14" s="120"/>
    </row>
    <row r="15" spans="1:1" x14ac:dyDescent="0.3">
      <c r="A15" s="119" t="s">
        <v>1397</v>
      </c>
    </row>
    <row r="16" spans="1:1" ht="66" x14ac:dyDescent="0.3">
      <c r="A16" s="120" t="s">
        <v>1398</v>
      </c>
    </row>
    <row r="17" spans="1:1" ht="26.4" x14ac:dyDescent="0.3">
      <c r="A17" s="120" t="s">
        <v>1399</v>
      </c>
    </row>
    <row r="18" spans="1:1" x14ac:dyDescent="0.3">
      <c r="A18" s="120"/>
    </row>
    <row r="19" spans="1:1" x14ac:dyDescent="0.3">
      <c r="A19" s="119" t="s">
        <v>1400</v>
      </c>
    </row>
    <row r="20" spans="1:1" ht="52.8" x14ac:dyDescent="0.3">
      <c r="A20" s="120" t="s">
        <v>1401</v>
      </c>
    </row>
    <row r="21" spans="1:1" x14ac:dyDescent="0.3">
      <c r="A21" s="120"/>
    </row>
    <row r="22" spans="1:1" x14ac:dyDescent="0.3">
      <c r="A22" s="119" t="s">
        <v>1402</v>
      </c>
    </row>
    <row r="23" spans="1:1" ht="66" x14ac:dyDescent="0.3">
      <c r="A23" s="120" t="s">
        <v>1403</v>
      </c>
    </row>
    <row r="24" spans="1:1" ht="26.4" x14ac:dyDescent="0.3">
      <c r="A24" s="120" t="s">
        <v>1404</v>
      </c>
    </row>
    <row r="25" spans="1:1" x14ac:dyDescent="0.3">
      <c r="A25" s="120"/>
    </row>
    <row r="26" spans="1:1" x14ac:dyDescent="0.3">
      <c r="A26" s="119" t="s">
        <v>1405</v>
      </c>
    </row>
    <row r="27" spans="1:1" ht="52.8" x14ac:dyDescent="0.3">
      <c r="A27" s="120" t="s">
        <v>1406</v>
      </c>
    </row>
    <row r="28" spans="1:1" x14ac:dyDescent="0.3">
      <c r="A28" s="120"/>
    </row>
    <row r="29" spans="1:1" x14ac:dyDescent="0.3">
      <c r="A29" s="119" t="s">
        <v>1407</v>
      </c>
    </row>
    <row r="30" spans="1:1" x14ac:dyDescent="0.3">
      <c r="A30" s="120" t="s">
        <v>1408</v>
      </c>
    </row>
    <row r="31" spans="1:1" ht="52.8" x14ac:dyDescent="0.3">
      <c r="A31" s="120" t="s">
        <v>1409</v>
      </c>
    </row>
    <row r="32" spans="1:1" x14ac:dyDescent="0.3">
      <c r="A32" s="120"/>
    </row>
    <row r="33" spans="1:1" ht="39.6" x14ac:dyDescent="0.3">
      <c r="A33" s="119" t="s">
        <v>1410</v>
      </c>
    </row>
    <row r="35" spans="1:1" x14ac:dyDescent="0.3">
      <c r="A35" s="3" t="s">
        <v>123</v>
      </c>
    </row>
  </sheetData>
  <hyperlinks>
    <hyperlink ref="A35" location="'Summary'!A1" display="← Summary" xr:uid="{00000000-0004-0000-08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Walls</vt:lpstr>
      <vt:lpstr>Roof</vt:lpstr>
      <vt:lpstr>Floor panel</vt:lpstr>
      <vt:lpstr>Skid</vt:lpstr>
      <vt:lpstr>Manufacturing</vt:lpstr>
      <vt:lpstr>Fixtures and finishes</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2026-09-13T01:10:27Z</dcterms:created>
  <dcterms:modified xsi:type="dcterms:W3CDTF">2026-09-13T01:10:39Z</dcterms:modified>
</cp:coreProperties>
</file>