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globa\projects\wall-panel-animator\docs\estimate\"/>
    </mc:Choice>
  </mc:AlternateContent>
  <xr:revisionPtr revIDLastSave="0" documentId="13_ncr:1_{F00685CC-F6B0-450F-B632-E5828B1BE255}" xr6:coauthVersionLast="47" xr6:coauthVersionMax="47" xr10:uidLastSave="{00000000-0000-0000-0000-000000000000}"/>
  <bookViews>
    <workbookView xWindow="-108" yWindow="-108" windowWidth="23256" windowHeight="13896" xr2:uid="{00000000-000D-0000-FFFF-FFFF00000000}"/>
  </bookViews>
  <sheets>
    <sheet name="Inputs" sheetId="1" r:id="rId1"/>
    <sheet name="k-values" sheetId="2" r:id="rId2"/>
    <sheet name="Wall" sheetId="3" r:id="rId3"/>
    <sheet name="Roof" sheetId="4" r:id="rId4"/>
    <sheet name="Floor" sheetId="5" r:id="rId5"/>
    <sheet name="Mass wall" sheetId="6" r:id="rId6"/>
    <sheet name="Code" sheetId="7" r:id="rId7"/>
    <sheet name="Options" sheetId="8" r:id="rId8"/>
    <sheet name="Compare" sheetId="9" r:id="rId9"/>
    <sheet name="Notes"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1" i="9" l="1"/>
  <c r="A40" i="9"/>
  <c r="A39" i="9"/>
  <c r="A38" i="9"/>
  <c r="A37" i="9"/>
  <c r="A36" i="9"/>
  <c r="A35" i="9"/>
  <c r="C22" i="9"/>
  <c r="C21" i="9"/>
  <c r="C20" i="9"/>
  <c r="C19" i="9"/>
  <c r="C18" i="9"/>
  <c r="C16" i="9"/>
  <c r="C15" i="9"/>
  <c r="C11" i="9"/>
  <c r="C10" i="9"/>
  <c r="C9" i="9"/>
  <c r="B8" i="9"/>
  <c r="B77" i="8"/>
  <c r="B80" i="8" s="1"/>
  <c r="B76" i="8"/>
  <c r="B53" i="8"/>
  <c r="E52" i="8"/>
  <c r="F52" i="8" s="1"/>
  <c r="C52" i="8"/>
  <c r="B52" i="8"/>
  <c r="E51" i="8"/>
  <c r="C51" i="8"/>
  <c r="B51" i="8"/>
  <c r="D51" i="8" s="1"/>
  <c r="B42" i="8"/>
  <c r="B33" i="8"/>
  <c r="E36" i="7"/>
  <c r="C41" i="7" s="1"/>
  <c r="E35" i="7"/>
  <c r="C39" i="7" s="1"/>
  <c r="E34" i="7"/>
  <c r="C40" i="7" s="1"/>
  <c r="E17" i="7"/>
  <c r="C28" i="7" s="1"/>
  <c r="E16" i="7"/>
  <c r="E15" i="7"/>
  <c r="B18" i="7" s="1"/>
  <c r="E14" i="7"/>
  <c r="C24" i="7" s="1"/>
  <c r="E13" i="7"/>
  <c r="C27" i="7" s="1"/>
  <c r="E9" i="7"/>
  <c r="E8" i="7"/>
  <c r="E7" i="7"/>
  <c r="E6" i="7"/>
  <c r="B23" i="6"/>
  <c r="D11" i="6"/>
  <c r="C11" i="6"/>
  <c r="E11" i="6" s="1"/>
  <c r="D10" i="6"/>
  <c r="C10" i="6"/>
  <c r="B10" i="6"/>
  <c r="E10" i="6" s="1"/>
  <c r="D9" i="6"/>
  <c r="C9" i="6"/>
  <c r="D8" i="6"/>
  <c r="C8" i="6"/>
  <c r="B8" i="6"/>
  <c r="D7" i="6"/>
  <c r="C7" i="6"/>
  <c r="B7" i="6"/>
  <c r="E6" i="6"/>
  <c r="D6" i="6"/>
  <c r="C6" i="6"/>
  <c r="B6" i="6"/>
  <c r="B16" i="5"/>
  <c r="B15" i="5"/>
  <c r="F10" i="5"/>
  <c r="E10" i="5"/>
  <c r="C9" i="5"/>
  <c r="C8" i="5"/>
  <c r="B8" i="5"/>
  <c r="C7" i="5"/>
  <c r="B7" i="5"/>
  <c r="F6" i="5"/>
  <c r="E6" i="5"/>
  <c r="B43" i="4"/>
  <c r="B42" i="4"/>
  <c r="F37" i="4"/>
  <c r="E37" i="4"/>
  <c r="F36" i="4"/>
  <c r="E36" i="4"/>
  <c r="C35" i="4"/>
  <c r="B35" i="4"/>
  <c r="C34" i="4"/>
  <c r="B34" i="4"/>
  <c r="C33" i="4"/>
  <c r="B33" i="4"/>
  <c r="C32" i="4"/>
  <c r="B32" i="4"/>
  <c r="B38" i="4" s="1"/>
  <c r="B59" i="4" s="1"/>
  <c r="F31" i="4"/>
  <c r="E31" i="4"/>
  <c r="B18" i="4"/>
  <c r="B17" i="4"/>
  <c r="F12" i="4"/>
  <c r="E12" i="4"/>
  <c r="F11" i="4"/>
  <c r="E11" i="4"/>
  <c r="C10" i="4"/>
  <c r="B10" i="4"/>
  <c r="C9" i="4"/>
  <c r="B9" i="4"/>
  <c r="F9" i="4" s="1"/>
  <c r="C8" i="4"/>
  <c r="B8" i="4"/>
  <c r="C7" i="4"/>
  <c r="B7" i="4"/>
  <c r="F6" i="4"/>
  <c r="E6" i="4"/>
  <c r="B30" i="3"/>
  <c r="F12" i="3"/>
  <c r="E12" i="3"/>
  <c r="C11" i="3"/>
  <c r="B11" i="3"/>
  <c r="C10" i="3"/>
  <c r="C9" i="3"/>
  <c r="B9" i="3"/>
  <c r="F9" i="3" s="1"/>
  <c r="C8" i="3"/>
  <c r="B8" i="3"/>
  <c r="C7" i="3"/>
  <c r="B7" i="3"/>
  <c r="F6" i="3"/>
  <c r="E6" i="3"/>
  <c r="G21" i="2"/>
  <c r="F21" i="2"/>
  <c r="E21" i="2"/>
  <c r="C40" i="9" s="1"/>
  <c r="B21" i="2"/>
  <c r="G20" i="2"/>
  <c r="F20" i="2"/>
  <c r="E20" i="2"/>
  <c r="C39" i="9" s="1"/>
  <c r="B20" i="2"/>
  <c r="G19" i="2"/>
  <c r="F19" i="2"/>
  <c r="E19" i="2"/>
  <c r="C38" i="9" s="1"/>
  <c r="B19" i="2"/>
  <c r="G18" i="2"/>
  <c r="F18" i="2"/>
  <c r="E18" i="2"/>
  <c r="C37" i="9" s="1"/>
  <c r="B18" i="2"/>
  <c r="G17" i="2"/>
  <c r="F17" i="2"/>
  <c r="E17" i="2"/>
  <c r="C36" i="9" s="1"/>
  <c r="B17" i="2"/>
  <c r="G16" i="2"/>
  <c r="F16" i="2"/>
  <c r="E16" i="2"/>
  <c r="C35" i="9" s="1"/>
  <c r="B16" i="2"/>
  <c r="B9" i="2"/>
  <c r="B10" i="2" s="1"/>
  <c r="B120" i="1"/>
  <c r="B50" i="8" s="1"/>
  <c r="B90" i="1"/>
  <c r="B9" i="5" s="1"/>
  <c r="B65" i="1"/>
  <c r="B64" i="1"/>
  <c r="B18" i="3" s="1"/>
  <c r="B62" i="1"/>
  <c r="B60" i="1"/>
  <c r="B61" i="1" s="1"/>
  <c r="B45" i="1"/>
  <c r="B43" i="1"/>
  <c r="B34" i="8" s="1"/>
  <c r="B31" i="1"/>
  <c r="B4" i="9" s="1"/>
  <c r="B18" i="1"/>
  <c r="D18" i="9" s="1"/>
  <c r="D21" i="9" l="1"/>
  <c r="B86" i="8"/>
  <c r="D22" i="9"/>
  <c r="E8" i="6"/>
  <c r="C87" i="8"/>
  <c r="B28" i="9"/>
  <c r="D41" i="9" s="1"/>
  <c r="D8" i="9"/>
  <c r="B29" i="1"/>
  <c r="B30" i="1"/>
  <c r="B26" i="8" s="1"/>
  <c r="D10" i="9"/>
  <c r="B63" i="1"/>
  <c r="B17" i="3" s="1"/>
  <c r="E7" i="6"/>
  <c r="D15" i="9"/>
  <c r="D52" i="8"/>
  <c r="B11" i="5"/>
  <c r="F9" i="5"/>
  <c r="B54" i="8"/>
  <c r="B28" i="8"/>
  <c r="B12" i="9"/>
  <c r="D21" i="2"/>
  <c r="B17" i="9"/>
  <c r="D18" i="2"/>
  <c r="B29" i="9"/>
  <c r="B27" i="8"/>
  <c r="E27" i="8" s="1"/>
  <c r="D17" i="2"/>
  <c r="B26" i="1"/>
  <c r="B28" i="1" s="1"/>
  <c r="C88" i="8" s="1"/>
  <c r="B25" i="1"/>
  <c r="B27" i="1" s="1"/>
  <c r="B13" i="9"/>
  <c r="D19" i="2"/>
  <c r="D16" i="2"/>
  <c r="D20" i="2"/>
  <c r="B20" i="8"/>
  <c r="C50" i="8"/>
  <c r="D50" i="8" s="1"/>
  <c r="C25" i="7"/>
  <c r="D8" i="4"/>
  <c r="E8" i="4" s="1"/>
  <c r="F8" i="4" s="1"/>
  <c r="F34" i="4"/>
  <c r="B13" i="4"/>
  <c r="B22" i="6"/>
  <c r="B44" i="1"/>
  <c r="D86" i="8" s="1"/>
  <c r="D9" i="3"/>
  <c r="E9" i="3" s="1"/>
  <c r="D35" i="4"/>
  <c r="E35" i="4" s="1"/>
  <c r="F35" i="4" s="1"/>
  <c r="D32" i="4"/>
  <c r="E32" i="4" s="1"/>
  <c r="F86" i="8"/>
  <c r="G86" i="8" s="1"/>
  <c r="B81" i="8"/>
  <c r="B91" i="1"/>
  <c r="B43" i="8"/>
  <c r="B19" i="1"/>
  <c r="D7" i="4"/>
  <c r="E7" i="4" s="1"/>
  <c r="C53" i="8"/>
  <c r="D53" i="8" s="1"/>
  <c r="D11" i="3"/>
  <c r="E11" i="3" s="1"/>
  <c r="F11" i="3" s="1"/>
  <c r="B32" i="1"/>
  <c r="F51" i="8"/>
  <c r="B35" i="1"/>
  <c r="D19" i="9"/>
  <c r="D20" i="9"/>
  <c r="B34" i="6"/>
  <c r="B14" i="9"/>
  <c r="C8" i="9"/>
  <c r="B78" i="8"/>
  <c r="B79" i="8" s="1"/>
  <c r="D9" i="9"/>
  <c r="D34" i="4"/>
  <c r="E34" i="4" s="1"/>
  <c r="D9" i="5"/>
  <c r="E9" i="5" s="1"/>
  <c r="C26" i="7"/>
  <c r="B36" i="8"/>
  <c r="D16" i="9"/>
  <c r="B30" i="9"/>
  <c r="C86" i="8"/>
  <c r="D11" i="9"/>
  <c r="B33" i="1" l="1"/>
  <c r="B34" i="1"/>
  <c r="D10" i="4"/>
  <c r="E10" i="4" s="1"/>
  <c r="F10" i="4" s="1"/>
  <c r="D8" i="5"/>
  <c r="E8" i="5" s="1"/>
  <c r="F8" i="5" s="1"/>
  <c r="D33" i="4"/>
  <c r="E33" i="4" s="1"/>
  <c r="F33" i="4" s="1"/>
  <c r="D7" i="3"/>
  <c r="E7" i="3" s="1"/>
  <c r="F7" i="3" s="1"/>
  <c r="B37" i="8"/>
  <c r="B35" i="8"/>
  <c r="D54" i="8"/>
  <c r="B67" i="8" s="1"/>
  <c r="B38" i="8"/>
  <c r="B31" i="9"/>
  <c r="D10" i="3"/>
  <c r="D9" i="4"/>
  <c r="E9" i="4" s="1"/>
  <c r="E13" i="4" s="1"/>
  <c r="D8" i="3"/>
  <c r="E8" i="3" s="1"/>
  <c r="F8" i="3" s="1"/>
  <c r="D7" i="5"/>
  <c r="E7" i="5" s="1"/>
  <c r="F7" i="5" s="1"/>
  <c r="F11" i="5" s="1"/>
  <c r="F12" i="5" s="1"/>
  <c r="E26" i="8"/>
  <c r="F7" i="4"/>
  <c r="F13" i="4" s="1"/>
  <c r="B35" i="9"/>
  <c r="H16" i="2"/>
  <c r="C27" i="8"/>
  <c r="D27" i="8" s="1"/>
  <c r="F27" i="8" s="1"/>
  <c r="G27" i="8" s="1"/>
  <c r="C12" i="9"/>
  <c r="D12" i="9"/>
  <c r="B39" i="9"/>
  <c r="H20" i="2"/>
  <c r="B38" i="9"/>
  <c r="H19" i="2"/>
  <c r="B40" i="9"/>
  <c r="H21" i="2"/>
  <c r="D34" i="6"/>
  <c r="C34" i="6"/>
  <c r="B56" i="4"/>
  <c r="B55" i="4"/>
  <c r="C28" i="8"/>
  <c r="D28" i="8" s="1"/>
  <c r="H17" i="2"/>
  <c r="B36" i="9"/>
  <c r="D14" i="9"/>
  <c r="C14" i="9"/>
  <c r="C26" i="8"/>
  <c r="D26" i="8" s="1"/>
  <c r="H28" i="8"/>
  <c r="B46" i="1"/>
  <c r="B31" i="3" s="1"/>
  <c r="H26" i="8"/>
  <c r="B10" i="3"/>
  <c r="B24" i="6"/>
  <c r="B31" i="6" s="1"/>
  <c r="B9" i="6"/>
  <c r="E9" i="6" s="1"/>
  <c r="D13" i="9"/>
  <c r="C13" i="9"/>
  <c r="I86" i="8"/>
  <c r="H86" i="8"/>
  <c r="E86" i="8"/>
  <c r="B87" i="8"/>
  <c r="B88" i="8"/>
  <c r="F32" i="4"/>
  <c r="B37" i="9"/>
  <c r="H18" i="2"/>
  <c r="E28" i="8"/>
  <c r="D17" i="9"/>
  <c r="C17" i="9"/>
  <c r="H27" i="8"/>
  <c r="B29" i="5"/>
  <c r="B28" i="5"/>
  <c r="B29" i="6" l="1"/>
  <c r="F38" i="4"/>
  <c r="B28" i="6"/>
  <c r="B33" i="6"/>
  <c r="B39" i="8"/>
  <c r="B40" i="8" s="1"/>
  <c r="B44" i="8" s="1"/>
  <c r="B25" i="6"/>
  <c r="B63" i="8"/>
  <c r="B64" i="8" s="1"/>
  <c r="B32" i="6"/>
  <c r="D32" i="6" s="1"/>
  <c r="E38" i="4"/>
  <c r="E39" i="4" s="1"/>
  <c r="F28" i="8"/>
  <c r="G28" i="8" s="1"/>
  <c r="B30" i="6"/>
  <c r="E11" i="5"/>
  <c r="F26" i="8"/>
  <c r="G26" i="8" s="1"/>
  <c r="I26" i="8" s="1"/>
  <c r="E88" i="8"/>
  <c r="D88" i="8"/>
  <c r="F88" i="8"/>
  <c r="G88" i="8" s="1"/>
  <c r="F87" i="8"/>
  <c r="G87" i="8" s="1"/>
  <c r="E87" i="8"/>
  <c r="D87" i="8"/>
  <c r="B21" i="4"/>
  <c r="B22" i="4" s="1"/>
  <c r="E14" i="4"/>
  <c r="E12" i="6"/>
  <c r="E13" i="6"/>
  <c r="B18" i="6" s="1"/>
  <c r="F14" i="4"/>
  <c r="B19" i="4"/>
  <c r="D29" i="6"/>
  <c r="C29" i="6"/>
  <c r="I27" i="8"/>
  <c r="D33" i="6"/>
  <c r="C33" i="6"/>
  <c r="D31" i="6"/>
  <c r="C31" i="6"/>
  <c r="F39" i="4"/>
  <c r="D28" i="6"/>
  <c r="C28" i="6"/>
  <c r="I28" i="8"/>
  <c r="D30" i="6"/>
  <c r="C30" i="6"/>
  <c r="E10" i="3"/>
  <c r="E13" i="3" s="1"/>
  <c r="F10" i="3"/>
  <c r="F13" i="3" s="1"/>
  <c r="B13" i="3"/>
  <c r="B19" i="5" l="1"/>
  <c r="B20" i="5" s="1"/>
  <c r="E12" i="5"/>
  <c r="B17" i="5"/>
  <c r="C32" i="6"/>
  <c r="B46" i="4"/>
  <c r="B47" i="4" s="1"/>
  <c r="B44" i="4"/>
  <c r="F14" i="3"/>
  <c r="B19" i="3"/>
  <c r="B20" i="4"/>
  <c r="B23" i="4"/>
  <c r="B17" i="6"/>
  <c r="B19" i="6"/>
  <c r="B21" i="3"/>
  <c r="E14" i="3"/>
  <c r="B32" i="3"/>
  <c r="I87" i="8"/>
  <c r="H87" i="8"/>
  <c r="I88" i="8"/>
  <c r="H88" i="8"/>
  <c r="B48" i="4"/>
  <c r="B45" i="4"/>
  <c r="B18" i="5" l="1"/>
  <c r="B21" i="5"/>
  <c r="B24" i="4"/>
  <c r="B26" i="7"/>
  <c r="B58" i="4"/>
  <c r="E53" i="8"/>
  <c r="F53" i="8" s="1"/>
  <c r="B56" i="8" s="1"/>
  <c r="B22" i="3"/>
  <c r="B23" i="3" s="1"/>
  <c r="B27" i="7"/>
  <c r="B61" i="4"/>
  <c r="B40" i="7"/>
  <c r="B49" i="4"/>
  <c r="B20" i="3"/>
  <c r="B22" i="5" l="1"/>
  <c r="B41" i="7"/>
  <c r="B28" i="7"/>
  <c r="B31" i="5"/>
  <c r="B25" i="7"/>
  <c r="B39" i="7"/>
  <c r="E50" i="8"/>
  <c r="F50" i="8" s="1"/>
  <c r="B24" i="3"/>
  <c r="B24" i="7"/>
  <c r="B34" i="3"/>
  <c r="B60" i="4"/>
  <c r="B50" i="4"/>
  <c r="B51" i="4" s="1"/>
  <c r="D26" i="7"/>
  <c r="E26" i="7"/>
  <c r="B8" i="8" s="1"/>
  <c r="B57" i="4"/>
  <c r="B25" i="4"/>
  <c r="B26" i="4" s="1"/>
  <c r="D40" i="7"/>
  <c r="E40" i="7"/>
  <c r="B10" i="8" s="1"/>
  <c r="D27" i="7"/>
  <c r="E27" i="7"/>
  <c r="B58" i="8"/>
  <c r="B57" i="8"/>
  <c r="E28" i="7" l="1"/>
  <c r="D28" i="7"/>
  <c r="E41" i="7"/>
  <c r="B11" i="8" s="1"/>
  <c r="D41" i="7"/>
  <c r="B30" i="5"/>
  <c r="B23" i="5"/>
  <c r="B24" i="5" s="1"/>
  <c r="F8" i="8"/>
  <c r="E8" i="8"/>
  <c r="D8" i="8"/>
  <c r="C8" i="8"/>
  <c r="B35" i="3"/>
  <c r="B33" i="3"/>
  <c r="B41" i="8"/>
  <c r="B68" i="8"/>
  <c r="B65" i="8"/>
  <c r="B25" i="3"/>
  <c r="B26" i="3" s="1"/>
  <c r="F54" i="8"/>
  <c r="B55" i="8" s="1"/>
  <c r="B59" i="8"/>
  <c r="B60" i="8" s="1"/>
  <c r="B69" i="8"/>
  <c r="E10" i="8"/>
  <c r="D10" i="8"/>
  <c r="C10" i="8"/>
  <c r="F10" i="8"/>
  <c r="D24" i="7"/>
  <c r="E24" i="7"/>
  <c r="B6" i="8" s="1"/>
  <c r="D39" i="7"/>
  <c r="E39" i="7"/>
  <c r="B9" i="8" s="1"/>
  <c r="D25" i="7"/>
  <c r="E25" i="7"/>
  <c r="B7" i="8" s="1"/>
  <c r="E11" i="8" l="1"/>
  <c r="G11" i="8" s="1"/>
  <c r="D11" i="8"/>
  <c r="C11" i="8"/>
  <c r="F11" i="8"/>
  <c r="F7" i="8"/>
  <c r="E7" i="8"/>
  <c r="C7" i="8"/>
  <c r="D7" i="8"/>
  <c r="F9" i="8"/>
  <c r="E9" i="8"/>
  <c r="D9" i="8"/>
  <c r="C9" i="8"/>
  <c r="G10" i="8"/>
  <c r="C6" i="8"/>
  <c r="F6" i="8"/>
  <c r="E6" i="8"/>
  <c r="G6" i="8" s="1"/>
  <c r="D6" i="8"/>
  <c r="G8" i="8"/>
  <c r="G9" i="8" l="1"/>
  <c r="B15" i="8"/>
  <c r="B16" i="8" s="1"/>
  <c r="G7" i="8"/>
  <c r="B17" i="8" l="1"/>
  <c r="B18" i="8"/>
  <c r="B19" i="8" l="1"/>
  <c r="B21" i="8" s="1"/>
</calcChain>
</file>

<file path=xl/sharedStrings.xml><?xml version="1.0" encoding="utf-8"?>
<sst xmlns="http://schemas.openxmlformats.org/spreadsheetml/2006/main" count="1002" uniqueCount="625">
  <si>
    <t>Thermal evaluation — inputs</t>
  </si>
  <si>
    <t>Cellular-concrete wall / roof / floor panels. Layer thicknesses and steel from public/config/wall.config.json (read 2026-09-12). BLUE = input; BLACK = formula; YELLOW = an assumption to replace with a test result, product data or the code official's ruling. k in Btu·in/(h·ft²·°F); R in h·ft²·°F/Btu; U = 1/R in Btu/(h·ft²·°F).</t>
  </si>
  <si>
    <t>Code and method selectors</t>
  </si>
  <si>
    <t>Climate zone (5, 6 or 7)</t>
  </si>
  <si>
    <t>IECC zone</t>
  </si>
  <si>
    <t>Most of Montana is zone 6 under the 2021 IECC Figure R301.1; a few counties are 5 or 7 — VERIFY the county in the adopted Montana code (DEQ handbook)</t>
  </si>
  <si>
    <t>Effective-U method for the code check (1 = parallel path, 2 = isothermal planes, 3 = average of the two)</t>
  </si>
  <si>
    <t>selector</t>
  </si>
  <si>
    <t>1 = parallel path with the stud path as wide as the flange: the higher-R estimate (it assumes no heat spreads beyond the flange). 2 = isothermal planes: the strict lower bound on R for a stud buried in concrete (it assumes every concrete plane is one temperature). 3 = the average, the working value until a THERM 2-D calculation or a C1363 hot-box test replaces it. The ASHRAE zone method (the accepted hand method for metal framing) lands between 1 and 2.</t>
  </si>
  <si>
    <t>Mass wall: is more than half of any added insulation on the INTERIOR? (1 = yes, 0 = no)</t>
  </si>
  <si>
    <t>flag</t>
  </si>
  <si>
    <t>IECC Table R402.1.3 second mass-wall R-value and the Table R402.1.2 footnote U-factor apply when it is; 0 = exterior or no added insulation</t>
  </si>
  <si>
    <t>Cellular concrete densities (oven-dry, pcf)</t>
  </si>
  <si>
    <t>Skin, cladding, roof and floor pours (config concrete.densityPcf)</t>
  </si>
  <si>
    <t>pcf</t>
  </si>
  <si>
    <t>config concrete.densityPcf and roof.concrete.densityPcf</t>
  </si>
  <si>
    <t>Cavity fill (config concrete.fillDensityPcf)</t>
  </si>
  <si>
    <t>config concrete.fillDensityPcf; Options (b) reruns this at 25 and 20</t>
  </si>
  <si>
    <t>Moisture allowance on the oven-dry k</t>
  </si>
  <si>
    <t>%</t>
  </si>
  <si>
    <t>ASSUMPTION. ACI 122R and ASHRAE say in-service moisture raises k; the usual rule of thumb is a few percent k per 1 percent moisture by volume. 20 percent is a placeholder; a C518 test at the conditioning you specify replaces both the dry k and this factor. Set 0 to use the dry values.</t>
  </si>
  <si>
    <t>k override for the skin/cladding/roof density (blank = use the k-values fit)</t>
  </si>
  <si>
    <t>Btu·in/(h·ft²·°F)</t>
  </si>
  <si>
    <t>Type the ASTM C518 (or C177) result for YOUR mix here when you have it; blank = the k-values tab fit</t>
  </si>
  <si>
    <t>k override for the fill density (blank = use the k-values fit)</t>
  </si>
  <si>
    <t>Same: the C518 result for the fill mix</t>
  </si>
  <si>
    <t>Ken's measured value (12 Sep 2026)</t>
  </si>
  <si>
    <t>Measured R per inch, Ken's current test (12 Sep 2026)</t>
  </si>
  <si>
    <t>h·ft²·°F/Btu per inch</t>
  </si>
  <si>
    <t>Ken: the current test on the cellular concrete gives R-2.1 per inch. Used AS MEASURED (no moisture allowance): the test's moisture state is whatever the specimen had.</t>
  </si>
  <si>
    <t>Measured k = 1 / (R per inch)</t>
  </si>
  <si>
    <t>the k the selectors below put into the layer tables</t>
  </si>
  <si>
    <t>Measured k in SI (÷ 6.933)</t>
  </si>
  <si>
    <t>W/(m·K)</t>
  </si>
  <si>
    <t>Test density: unknown, record it</t>
  </si>
  <si>
    <t>unknown</t>
  </si>
  <si>
    <t>ASSUMPTION GAP: the specimen density and moisture state were not recorded with the R-2.1. Write them here; on the literature curve a k of 0.48 matches roughly 15 to 20 pcf material (k-values tab), so either the mix is lighter than 30 pcf or the foam does better than the published curve.</t>
  </si>
  <si>
    <t>k source (1 = MEASURED, 2 = literature)</t>
  </si>
  <si>
    <t>1 uses the measured k above; 2 uses the literature fit with the moisture allowance. The literature values stay below as the fallback and the comparison.</t>
  </si>
  <si>
    <t>Apply the measured k to (1 = ALL cellular concrete, 2 = the cavity fill only)</t>
  </si>
  <si>
    <t>Ken tested "the cellular", one mix, so 1 is the default; 2 keeps the skin, cladding, roof and floor pours at the literature value and puts the measured k in the 30 pcf fill only</t>
  </si>
  <si>
    <t>Working k-values (formulas: the selectors above; literature = the k-values tab fit at the density, or the override, × (1 + moisture allowance))</t>
  </si>
  <si>
    <t>k oven-dry literature, skin/cladding/roof/floor density</t>
  </si>
  <si>
    <t>k-values tab: power fit through the ASHRAE foam-concrete design values, or the override</t>
  </si>
  <si>
    <t>k oven-dry literature, fill density</t>
  </si>
  <si>
    <t>same</t>
  </si>
  <si>
    <t>k literature in service, skin/cladding/roof/floor (dry × (1 + moisture allowance))</t>
  </si>
  <si>
    <t>the "before the test" value; the moisture allowance applies to literature values only</t>
  </si>
  <si>
    <t>k literature in service, fill</t>
  </si>
  <si>
    <t>k USED, skin/cladding/roof/floor</t>
  </si>
  <si>
    <t>the value every R on the Wall / Roof / Floor tabs uses: measured when k source = 1 and apply = 1, else literature</t>
  </si>
  <si>
    <t>k USED, fill</t>
  </si>
  <si>
    <t>measured when k source = 1 (either apply setting), else literature</t>
  </si>
  <si>
    <t>k basis in words</t>
  </si>
  <si>
    <t>printed on the Compare tab</t>
  </si>
  <si>
    <t>R per inch, skin/cladding/roof/floor = 1/k</t>
  </si>
  <si>
    <t>R per inch, fill = 1/k</t>
  </si>
  <si>
    <t>k WORKING in SI, skin (÷ 6.933)</t>
  </si>
  <si>
    <t>1 W/(m·K) = 6.933 Btu·in/(h·ft²·°F)</t>
  </si>
  <si>
    <t>k WORKING in SI, fill</t>
  </si>
  <si>
    <t>Wall panel layers (config panel.*, studs.*, channel.*, concrete.skinPourDepth) — inside to outside</t>
  </si>
  <si>
    <t>Skin (inside face, cast on the liner)</t>
  </si>
  <si>
    <t>in</t>
  </si>
  <si>
    <t>config panel.skin</t>
  </si>
  <si>
    <t>Channel / mesh zone (1-1/2" cold-rolled channel rows on 2" spacers)</t>
  </si>
  <si>
    <t>config channel.depth; filled by the skin pour</t>
  </si>
  <si>
    <t>Stud depth (web)</t>
  </si>
  <si>
    <t>config studs.depth (600S162-54)</t>
  </si>
  <si>
    <t>Skin pour depth (skin + channel zone + a bite into the studs)</t>
  </si>
  <si>
    <t>config concrete.skinPourDepth; at the skin density</t>
  </si>
  <si>
    <t>Cladding (outside face)</t>
  </si>
  <si>
    <t>config panel.cladding</t>
  </si>
  <si>
    <t>Stud zone cast with the skin pour (at the skin density)</t>
  </si>
  <si>
    <t>skin pour less skin less channel zone</t>
  </si>
  <si>
    <t>Stud zone pumped full later (at the fill density)</t>
  </si>
  <si>
    <t>the cavity fill</t>
  </si>
  <si>
    <t>Wall thickness</t>
  </si>
  <si>
    <t>skin + channel + stud + cladding (11.5 in the config)</t>
  </si>
  <si>
    <t>Wall weight, concrete only</t>
  </si>
  <si>
    <t>psf</t>
  </si>
  <si>
    <t>skin-density layers + fill; steel is not in this number</t>
  </si>
  <si>
    <t>Wall steel (config studs.*) — the thermal bridges</t>
  </si>
  <si>
    <t>Stud designation</t>
  </si>
  <si>
    <t>600S162-54</t>
  </si>
  <si>
    <t>600S162-54: 6" web, 1.625" flange, 54 mil</t>
  </si>
  <si>
    <t>Stud flange width</t>
  </si>
  <si>
    <t>config studs.flange; the parallel-path framing width</t>
  </si>
  <si>
    <t>Stud design thickness (54 mil)</t>
  </si>
  <si>
    <t>AISI / SFIA design thickness for 54 mil; the isothermal-planes steel area</t>
  </si>
  <si>
    <t>Stud spacing</t>
  </si>
  <si>
    <t>in o.c.</t>
  </si>
  <si>
    <t>config studs.spacing</t>
  </si>
  <si>
    <t>Panel width</t>
  </si>
  <si>
    <t>config panel.width</t>
  </si>
  <si>
    <t>Panel height</t>
  </si>
  <si>
    <t>config panel.height (96 for the shower house; the track fraction moves a little)</t>
  </si>
  <si>
    <t>Edge studs per panel (one each side; the joint puts two back to back)</t>
  </si>
  <si>
    <t>ea</t>
  </si>
  <si>
    <t>docs/wall-spec-v1.md: panels screwed together through the edge studs</t>
  </si>
  <si>
    <t>Track flange (600T125-54)</t>
  </si>
  <si>
    <t>config studs.trackFlange</t>
  </si>
  <si>
    <t>Tracks crossing the wall per panel height (top + bottom)</t>
  </si>
  <si>
    <t>the continuous top track sits on the panel top track (same footprint), so 2</t>
  </si>
  <si>
    <t>Channel rows per panel height</t>
  </si>
  <si>
    <t>config channel.rowSpacing 48 with the first row at 12: 12, 60, 108 on a 120" panel; 4 on the 150" wall-A panel</t>
  </si>
  <si>
    <t>Channel web thickness (16 ga)</t>
  </si>
  <si>
    <t>config channel.gauge 54</t>
  </si>
  <si>
    <t>Studs per panel width</t>
  </si>
  <si>
    <t>interior studs (width/spacing − 1) + the edge studs</t>
  </si>
  <si>
    <t>Framing fraction, studs (flange width basis)</t>
  </si>
  <si>
    <t>the parallel-path area that "is steel"</t>
  </si>
  <si>
    <t>Framing fraction, tracks (flange basis)</t>
  </si>
  <si>
    <t>Framing fraction, combined</t>
  </si>
  <si>
    <t>1 − (1 − studs)(1 − tracks)</t>
  </si>
  <si>
    <t>Steel area fraction in the stud layer (web thickness basis)</t>
  </si>
  <si>
    <t>the isothermal-planes steel area: the webs are what cross the layer</t>
  </si>
  <si>
    <t>Steel area fraction of the channel rows (in the 1.5" channel zone)</t>
  </si>
  <si>
    <t>so small the channel zone is treated as solid skin-density concrete; shown so nobody asks</t>
  </si>
  <si>
    <t>Roof strips (config roof.*) — house shed roof 800S162-68 and the shower-house roof 600S162-54 (both solid concrete over the full stack)</t>
  </si>
  <si>
    <t>Bottom cover (ceiling face)</t>
  </si>
  <si>
    <t>config roof.concrete.bottomCover</t>
  </si>
  <si>
    <t>Channel zone</t>
  </si>
  <si>
    <t>config channel.depth</t>
  </si>
  <si>
    <t>Top cap over the studs</t>
  </si>
  <si>
    <t>config roof.concrete.topCap; the flat design adds a drainage build-up on top (ignored here, it only helps)</t>
  </si>
  <si>
    <t>Ground pour (cast in the yard)</t>
  </si>
  <si>
    <t>config roof.concrete.groundPourDepth; the top pour = stack − ground pour, so the whole stack ends up concrete (src/geometry/roof.js topPourDepth)</t>
  </si>
  <si>
    <t>House roof stud depth (800S162-68)</t>
  </si>
  <si>
    <t>config roof.studs.depth (800S162-68); gable option uses 1000S200-97 (10")</t>
  </si>
  <si>
    <t>House roof stud design thickness (68 mil)</t>
  </si>
  <si>
    <t>AISI design thickness for 68 mil</t>
  </si>
  <si>
    <t>Shower-house roof stud depth (600S162-54)</t>
  </si>
  <si>
    <t>config products.showerhouse roof.studs.depth; PE to confirm</t>
  </si>
  <si>
    <t>Shower-house roof stud design thickness (54 mil)</t>
  </si>
  <si>
    <t>Roof stud flange</t>
  </si>
  <si>
    <t>config roof.studs.flange</t>
  </si>
  <si>
    <t>Roof stud spacing</t>
  </si>
  <si>
    <t>config roof.studs.spacing</t>
  </si>
  <si>
    <t>Roof density</t>
  </si>
  <si>
    <t>config roof.concrete.densityPcf (same as the skin)</t>
  </si>
  <si>
    <t>Membrane (Eco Finish) R</t>
  </si>
  <si>
    <t>h·ft²·°F/Btu</t>
  </si>
  <si>
    <t>a coating; no thermal credit taken</t>
  </si>
  <si>
    <t>Floor panel (shower house, the Option B plant panel: src/pricing/basis.js fp*) — finish face up on the skid</t>
  </si>
  <si>
    <t>Cover = finished floor face</t>
  </si>
  <si>
    <t>basis fpCover (roof config bottomCover)</t>
  </si>
  <si>
    <t>basis fpChannel</t>
  </si>
  <si>
    <t>Floor stud depth (600S162-68)</t>
  </si>
  <si>
    <t>basis fpStudDepth</t>
  </si>
  <si>
    <t>Floor stud design thickness (68 mil)</t>
  </si>
  <si>
    <t>Ground pour (cover + channel + a bite into the studs; the panel is NOT filled further)</t>
  </si>
  <si>
    <t>basis fpGroundPour: 6.5" of concrete, the studs reach 9.5" below the top and hang 3" in the open air under the unit</t>
  </si>
  <si>
    <t>Floor stud flange</t>
  </si>
  <si>
    <t>basis fpFlange</t>
  </si>
  <si>
    <t>Floor stud spacing</t>
  </si>
  <si>
    <t>basis fpSpacing</t>
  </si>
  <si>
    <t>Floor density</t>
  </si>
  <si>
    <t>roof config densityPcf</t>
  </si>
  <si>
    <t>Stud embedded in the pour</t>
  </si>
  <si>
    <t>ground pour less cover less channel zone</t>
  </si>
  <si>
    <t>Stud exposed below the pour (in the air under the skid)</t>
  </si>
  <si>
    <t>a steel fin in the outside air; it is on the cold side so it is treated as part of the outside surface</t>
  </si>
  <si>
    <t>Material constants</t>
  </si>
  <si>
    <t>Steel thermal conductivity</t>
  </si>
  <si>
    <t>carbon steel ≈ 45 W/(m·K) = 314; ASHRAE Fundamentals</t>
  </si>
  <si>
    <t>Specific heat, cellular concrete</t>
  </si>
  <si>
    <t>Btu/(lb·°F)</t>
  </si>
  <si>
    <t>ASSUMPTION: ASHRAE Fundamentals lists 0.2 for concretes and lightweight concretes; cellular concrete with retained water runs a little higher. A measured value (ASTM C1784 or a DSC) replaces it.</t>
  </si>
  <si>
    <t>Specific heat, steel</t>
  </si>
  <si>
    <t>Wall steel weight (studs + tracks + channel + mesh clips)</t>
  </si>
  <si>
    <t>ASSUMPTION for the heat-capacity check only (a 600S162-54 at 16" o.c. is about 1.1 psf plus tracks and channel); the takeoff has the exact steel</t>
  </si>
  <si>
    <t>Surface air films (ASHRAE Fundamentals, still air inside / 15 mph outside winter)</t>
  </si>
  <si>
    <t>Inside film, vertical wall</t>
  </si>
  <si>
    <t>Outside film (winter, 15 mph)</t>
  </si>
  <si>
    <t>Inside film, ceiling (heat flow up)</t>
  </si>
  <si>
    <t>Inside film, floor (heat flow down)</t>
  </si>
  <si>
    <t>Continuous insulation products (R per inch) for the Options tab</t>
  </si>
  <si>
    <t>EPS (Type I/II)</t>
  </si>
  <si>
    <t>R/in</t>
  </si>
  <si>
    <t>nominal; product data governs</t>
  </si>
  <si>
    <t>XPS</t>
  </si>
  <si>
    <t>nominal (some products now label R-4.7 aged); product data governs</t>
  </si>
  <si>
    <t>Polyiso, aged (LTTR)</t>
  </si>
  <si>
    <t>aged / LTTR; cold-weather derating exists, product data governs</t>
  </si>
  <si>
    <t>Mineral wool board</t>
  </si>
  <si>
    <t>EPS weight</t>
  </si>
  <si>
    <t>psf per inch</t>
  </si>
  <si>
    <t>1 pcf</t>
  </si>
  <si>
    <t>XPS weight</t>
  </si>
  <si>
    <t>1.5 pcf</t>
  </si>
  <si>
    <t>Polyiso weight</t>
  </si>
  <si>
    <t>2 pcf</t>
  </si>
  <si>
    <t>Mineral wool board weight</t>
  </si>
  <si>
    <t>8 pcf</t>
  </si>
  <si>
    <t>Option (d) total-UA / performance path — house envelope areas from the config (12 Sep 2026)</t>
  </si>
  <si>
    <t>Gross exterior wall area</t>
  </si>
  <si>
    <t>sf</t>
  </si>
  <si>
    <t>A 480" × 150", C 480" × 120", B/D 359" × 120" (rake ignored)</t>
  </si>
  <si>
    <t>Window area (12 windows)</t>
  </si>
  <si>
    <t>config building.openings</t>
  </si>
  <si>
    <t>Clerestory glass area</t>
  </si>
  <si>
    <t>config roof.clerestory × 10 wall-A panels</t>
  </si>
  <si>
    <t>Door area</t>
  </si>
  <si>
    <t>Net opaque wall area</t>
  </si>
  <si>
    <t>Roof area</t>
  </si>
  <si>
    <t>docs/wall-spec-v1.md §3 (3 strips, with overhangs; the conditioned ceiling area is a little less)</t>
  </si>
  <si>
    <t>Proposed window U-factor</t>
  </si>
  <si>
    <t>Btu/(h·ft²·°F)</t>
  </si>
  <si>
    <t>ASSUMPTION: a good double-pane low-e; triple-pane runs 0.20 to 0.24; use the NFRC label</t>
  </si>
  <si>
    <t>Proposed door U-factor</t>
  </si>
  <si>
    <t>ASSUMPTION: an insulated door; use the label</t>
  </si>
  <si>
    <t>Reference fenestration U-factor (2021 IECC Table R402.1.2, zones 5 to 8)</t>
  </si>
  <si>
    <t>VERIFY against the adopted Montana code</t>
  </si>
  <si>
    <t>Slab-on-grade (the house) is a perimeter F-factor / R-10 slab-edge requirement, not a floor U-factor; it is outside this workbook. The shower house floor panel is on the Floor tab.</t>
  </si>
  <si>
    <t>k-value (thermal conductivity) of cellular / foamed concrete vs density</t>
  </si>
  <si>
    <t>Literature ranges, not test results. k varies with the foam agent, cement, any sand, the pore structure and above all the moisture. Ken's mix must be tested to ASTM C518 (heat-flow meter) or C177 (guarded hot plate) before any R-value goes on a proposal. Units: Btu·in/(h·ft²·°F); ÷ 6.933 for W/(m·K). R per inch = 1/k.</t>
  </si>
  <si>
    <t>Fit anchors — ASHRAE Handbook Fundamentals, chapter "Heat, Air and Moisture Control in Building Assemblies — Material Properties", Table "Typical thermal properties of common building and insulating materials — design values", line "Foam concretes"</t>
  </si>
  <si>
    <t>Anchor 1 density</t>
  </si>
  <si>
    <t>ASHRAE foam concrete design value: 40 pcf → k 1.3</t>
  </si>
  <si>
    <t>Anchor 1 k</t>
  </si>
  <si>
    <t>as listed</t>
  </si>
  <si>
    <t>Anchor 2 density</t>
  </si>
  <si>
    <t>ASHRAE foam concrete design value: 80 pcf → k 3.0</t>
  </si>
  <si>
    <t>Anchor 2 k</t>
  </si>
  <si>
    <t>as listed (60 pcf → 2.1 and 100 pcf → 4.1 fall on the same curve within 3 percent)</t>
  </si>
  <si>
    <t>Power-fit exponent b = ln(k2/k1) / ln(ρ2/ρ1)</t>
  </si>
  <si>
    <t>k = a × ρ^b</t>
  </si>
  <si>
    <t>Power-fit coefficient a = k1 / ρ1^b</t>
  </si>
  <si>
    <t>Valore / ACI 122R oven-dry relation: k = c1 × e^(c2 × ρ), c1</t>
  </si>
  <si>
    <t>ACI 122R "Guide to Thermal Properties of Concrete and Masonry Systems" quotes Valore's oven-dry density relation for concretes, k = 0.5 e^(0.02 ρ) in these units; shown as a second opinion, it was fitted mostly on aggregate concretes</t>
  </si>
  <si>
    <t>c2</t>
  </si>
  <si>
    <t>per pcf</t>
  </si>
  <si>
    <t>Density → k table (dry = oven-dry; in-service = dry × (1 + the Inputs moisture allowance))</t>
  </si>
  <si>
    <t>Density pcf</t>
  </si>
  <si>
    <t>kg/m³</t>
  </si>
  <si>
    <t>ASHRAE listed design value</t>
  </si>
  <si>
    <t>Power fit, dry (WORKING)</t>
  </si>
  <si>
    <t>Valore / ACI 122R, dry</t>
  </si>
  <si>
    <t>Literature low, dry (W/m·K → Btu·in)</t>
  </si>
  <si>
    <t>Literature high, dry</t>
  </si>
  <si>
    <t>Working, in-service (+ moisture)</t>
  </si>
  <si>
    <t>Where the listed value and the literature band come from</t>
  </si>
  <si>
    <t>ASHRAE lists 0.8 for 20 pcf on its "perlite, vermiculite and polystyrene aggregate" concrete line (no foam-concrete point this low). Ultra-light foamed concrete papers report 0.06 to 0.12 W/(m·K) around 300 kg/m³ (Amran et al. 2015 review; the ScienceDirect ultra-light foamed concrete review).</t>
  </si>
  <si>
    <t>—</t>
  </si>
  <si>
    <t>No ASHRAE point. Foamed-concrete literature around 400 kg/m³: roughly 0.10 to 0.14 W/(m·K) dry (Ramamurthy, Nambiar and Ranjani 2009 review; Mydin and Wang).</t>
  </si>
  <si>
    <t>ASHRAE lists 1.1 for 30 pcf on the perlite/vermiculite/polystyrene aggregate line. Foamed concrete near 480 kg/m³: about 0.11 to 0.17 W/(m·K) (the 0.116 at 600 kg/m³ in the MDPI/PMC 2023 foaming study is at the low end of the band for its density).</t>
  </si>
  <si>
    <t>No ASHRAE point; interpolated on the foam-concrete curve. Literature near 560 kg/m³: about 0.13 to 0.20 W/(m·K).</t>
  </si>
  <si>
    <t>ASHRAE foam concretes: 40 pcf → 1.3 (the fit anchor). Literature near 640 kg/m³: 0.15 to 0.23 W/(m·K) (Jones and McCarthy; Mydin and Wang 2012 report about 0.23 at 650 kg/m³).</t>
  </si>
  <si>
    <t>ASHRAE lists 1.8 to 1.9 for 50 pcf on the perlite/vermiculite/polystyrene line; the foam-concrete curve gives about 1.7. Literature near 800 kg/m³: 0.20 to 0.30 W/(m·K) (the 2009 review gives 0.1 to 0.7 W/(m·K) across 600 to 1600 kg/m³).</t>
  </si>
  <si>
    <t>Reading the table: the WORKING column (yellow) is a power curve k = a ρ^b through the ASHRAE "foam concretes" design values at 40 and 80 pcf; it lands in the upper half of the published foamed-concrete band, which is the conservative side for R. The literature band is wide (about ±30 percent) because k depends on the foam, the cement, any sand, the pore size and the moisture; the low end is usually oven-dry laboratory data on protein-foam mixes, the high end is sand-bearing or damp mixes. ACI 523.1R (Guide for Cast-in-Place Low-Density Cellular Concrete, densities of 50 pcf and under) has a thermal-conductivity section that presents k rising with oven-dry density in this same band; ACI 523.3R covers cellular concretes above 50 pcf. The web search on 12 Sep 2026 confirmed both guides exist and cover thermal conductivity but their tables are behind the ACI paywall, so the numbers above are anchored on ASHRAE and the open literature, not copied from ACI. Read the ACI 523.1R table when you buy it and compare.</t>
  </si>
  <si>
    <t>These are literature values. Ken's own mix (cement, foam agent, water, any fines) at its as-cured moisture must be tested to ASTM C518 or C177 before an R-value is printed on a proposal or a permit set. Enter the result in the Inputs k override cells.</t>
  </si>
  <si>
    <t>Wall panel — 11.5" stack, inside to outside: skin / channel zone / 600S162-54 studs in cellular concrete / cladding</t>
  </si>
  <si>
    <t>Clear path = through the concrete between studs (the skin pour and the cavity fill). Steel path = straight through a stud web. Both are one-dimensional; the truth for a steel stud buried in concrete is two-dimensional and sits between the parallel-path and isothermal-planes answers.</t>
  </si>
  <si>
    <t>Layer R table</t>
  </si>
  <si>
    <t>Layer (warm side first)</t>
  </si>
  <si>
    <t>Thickness in</t>
  </si>
  <si>
    <t>k Btu·in/(h·ft²·°F)</t>
  </si>
  <si>
    <t>R, clear path (through the concrete)</t>
  </si>
  <si>
    <t>R, steel path (through the stud web)</t>
  </si>
  <si>
    <t>Note</t>
  </si>
  <si>
    <t>Inside air film (vertical, still air)</t>
  </si>
  <si>
    <t>Skin (cast finish face), skin density</t>
  </si>
  <si>
    <t>the 2" finish layer inside; continuous, no steel through it</t>
  </si>
  <si>
    <t>Channel / mesh zone, filled by the skin pour</t>
  </si>
  <si>
    <t>the 1.5" channel rows and basalt mesh sit in this pour; the channel steel area is negligible (Inputs)</t>
  </si>
  <si>
    <t>Stud zone A: cast with the skin pour</t>
  </si>
  <si>
    <t>the first 1.5" of the stud web is in the skin pour</t>
  </si>
  <si>
    <t>Stud zone B: pumped cavity fill</t>
  </si>
  <si>
    <t>the 4.5" fill at the fill density</t>
  </si>
  <si>
    <t>Cladding (outside face), skin density</t>
  </si>
  <si>
    <t>2" cladding screwed to the outside flanges; continuous</t>
  </si>
  <si>
    <t>Outside air film (15 mph winter)</t>
  </si>
  <si>
    <t>TOTAL R (h·ft²·°F/Btu)</t>
  </si>
  <si>
    <t>clear-wall R and the R straight through a stud web</t>
  </si>
  <si>
    <t>U = 1/R</t>
  </si>
  <si>
    <t>Combining the two paths — the steel studs are thermal bridges</t>
  </si>
  <si>
    <t>Framing fraction for the parallel-path method (flange width basis)</t>
  </si>
  <si>
    <t>Inputs</t>
  </si>
  <si>
    <t>Steel area fraction for the isothermal-planes method (web thickness basis)</t>
  </si>
  <si>
    <t>PARALLEL PATH: U = ff/R_steel + (1 − ff)/R_clear</t>
  </si>
  <si>
    <t>ASHRAE parallel-path: the two one-dimensional paths side by side, weighted by area, the steel path as wide as the flange; the higher-R estimate for steel framing because it ignores heat spreading through the concrete beyond the flange</t>
  </si>
  <si>
    <t xml:space="preserve">    R effective, parallel path</t>
  </si>
  <si>
    <t>ISOTHERMAL PLANES: R = Σ series layers, the stud layer(s) as steel ∥ concrete by area</t>
  </si>
  <si>
    <t>ASHRAE isothermal planes: each layer face is one temperature; within the stud layer the steel web area and the concrete area conduct in parallel; the strict lower bound on R (upper bound on U) for a stud buried in a conductive material like concrete</t>
  </si>
  <si>
    <t xml:space="preserve">    U, isothermal planes</t>
  </si>
  <si>
    <t>U EFFECTIVE used for the code check (Inputs method selector)</t>
  </si>
  <si>
    <t>1 = parallel path (higher R), 2 = isothermal planes (lower-R bound), 3 = average (default)</t>
  </si>
  <si>
    <t>R EFFECTIVE = 1/U</t>
  </si>
  <si>
    <t>the assembly R with the steel counted</t>
  </si>
  <si>
    <t>Steel penalty: clear-path R minus effective R</t>
  </si>
  <si>
    <t>what the studs cost</t>
  </si>
  <si>
    <t>Steel penalty as a share of the clear-path R</t>
  </si>
  <si>
    <t>Why two answers: a steel stud conducts about 240 times better than the concrete around it, so the concrete feeds heat sideways into the flanges and the web carries it across. The parallel-path method lets the flange width (1.625") act as a solid steel bar and nothing outside it; that is the higher-R estimate. The isothermal-planes method assumes each concrete plane is one temperature (perfect sideways flow) and puts the 0.054" web in parallel with the concrete; that is the strict lower bound on R. The truth for a stud in concrete is between them and closer to the middle, which is why the workbook averages them by default. The ASHRAE Fundamentals zone method is the accepted hand calculation for metal framing (it widens the steel zone to flange + 2 × cover), and ASHRAE 90.1 Appendix A publishes correction factors for insulated steel-stud walls (a 6" stud at 16" o.c. with R-19 batts is credited about R-7 for the cavity); those factors are for insulation with k about 0.26 and do NOT transfer to a k ≈ 1 concrete cavity, where the steel-to-cavity contrast is four times smaller and the 2" skin and cladding buffer the flanges. For a novel assembly a code official will accept a THERM (2-D finite element) calculation stamped by the PE, or an ASTM C1363 hot-box test of a full panel; either replaces the selector.</t>
  </si>
  <si>
    <t>Wall in one line</t>
  </si>
  <si>
    <t>Wall weight (concrete + steel allowance)</t>
  </si>
  <si>
    <t>Clear-wall R (no steel)</t>
  </si>
  <si>
    <t>Effective R with the studs (selected method)</t>
  </si>
  <si>
    <t>Effective U</t>
  </si>
  <si>
    <t>R per inch of wall, effective</t>
  </si>
  <si>
    <t>R per inch</t>
  </si>
  <si>
    <t>for comparison: fiberglass batt about 3.2, EPS 3.8, wood 1.25, normal concrete 0.08</t>
  </si>
  <si>
    <t>Roof strips — solid cellular concrete over the full stack (cover + channel + stud + cap), Eco Finish membrane on top</t>
  </si>
  <si>
    <t>Two roofs: the house shed roof on 800S162-68 (13.5" stack) and the shower-house flat roof on 600S162-54 (11.5" stack). The ground pour (6.5") plus the top pour (stack minus 6.5") make the whole stack concrete, so the stud zone is concrete at the roof density with the stud web through it. Heat flow up.</t>
  </si>
  <si>
    <t>House roof, 800S162-68 (8" web, 68 mil)</t>
  </si>
  <si>
    <t>Inside air film (ceiling, heat flow up)</t>
  </si>
  <si>
    <t>cast on the liner; continuous</t>
  </si>
  <si>
    <t>Channel / mesh zone</t>
  </si>
  <si>
    <t>in the ground pour</t>
  </si>
  <si>
    <t>Stud zone (House roof, 800S162-68 (8" web, 68 mil))</t>
  </si>
  <si>
    <t>ground pour bites 3" into the studs, the top pour fills the rest; the web crosses the whole depth</t>
  </si>
  <si>
    <t>Top cap</t>
  </si>
  <si>
    <t>poured on the roof; the flat design's drainage build-up is extra and ignored</t>
  </si>
  <si>
    <t>Membrane</t>
  </si>
  <si>
    <t>Roof framing fraction = flange/spacing (one stud per 16" bay; the strip edge studs add a little). No tracks cross the roof thickness (they run along the strip edges). Same caveat as the wall: parallel path = higher R, isothermal planes = the lower-R bound, the average is the working value; THERM or a C1363 test is what a code official accepts for a novel assembly.</t>
  </si>
  <si>
    <t>Shower-house roof, 600S162-54 (6" web, 54 mil)</t>
  </si>
  <si>
    <t>Stud zone (Shower-house roof, 600S162-54 (6" web, 54 mil))</t>
  </si>
  <si>
    <t>Roofs in one line</t>
  </si>
  <si>
    <t>House roof thickness</t>
  </si>
  <si>
    <t>House roof weight, concrete</t>
  </si>
  <si>
    <t>plus about 4 psf steel (config roof.steelPsf)</t>
  </si>
  <si>
    <t>House roof effective R / U</t>
  </si>
  <si>
    <t>Shower-house roof thickness</t>
  </si>
  <si>
    <t>Shower-house roof effective R / U</t>
  </si>
  <si>
    <t>Floor panel (shower house) — 6.5" ground pour, finish face up, 600S162-68 studs hanging 3" into the air under the skid</t>
  </si>
  <si>
    <t>Heat flow down. The concrete is 6.5" (cover 2 + channel 1.5 + 3" of the stud embedded). The lower 3" of every stud is an exposed steel fin in the outside air on the cold side; it is treated as part of the outside surface (no credit, no extra penalty).</t>
  </si>
  <si>
    <t>Inside air film (floor, heat flow down)</t>
  </si>
  <si>
    <t>continuous</t>
  </si>
  <si>
    <t>Stud zone embedded in the pour</t>
  </si>
  <si>
    <t>the stud web crosses these 3"; below it the stud is in the air</t>
  </si>
  <si>
    <t>Outside air film (under the unit, 15 mph)</t>
  </si>
  <si>
    <t>The floor is thin (6.5" of concrete) and has no cavity to fill, so it is the weakest element thermally; the fix is a board insulation under it between the stud legs (the 3" of stud below the pour is exactly a 3" board cavity) or a full-depth fill of the stud legs with cellular concrete or foam. The exposed stud legs also carry cold into the pour, so a 2-D model would show a slightly worse number than the parallel path here; the floor is not the element that decides the code path.</t>
  </si>
  <si>
    <t>Floor in one line</t>
  </si>
  <si>
    <t>Floor concrete thickness</t>
  </si>
  <si>
    <t>Floor weight, concrete</t>
  </si>
  <si>
    <t>plus 4 psf steel (basis fpSteelPsf)</t>
  </si>
  <si>
    <t>Floor effective R / U</t>
  </si>
  <si>
    <t>Mass wall check — IECC 2021 R402.2.5: a mass wall has a heat capacity of at least 6 Btu/(ft²·°F)</t>
  </si>
  <si>
    <t>Heat capacity = Σ (thickness ft × density pcf × specific heat). Cellular concrete specific heat is taken as 0.2 Btu/(lb·°F) (Inputs, yellow). Qualifying as a mass wall changes the code target from the frame-wall U to the mass-wall U (Code tab) and lets the R-value path count insulation only at the mass-wall level.</t>
  </si>
  <si>
    <t>Wall layers</t>
  </si>
  <si>
    <t>Layer</t>
  </si>
  <si>
    <t>Specific heat Btu/(lb·°F)</t>
  </si>
  <si>
    <t>Heat capacity Btu/(ft²·°F)</t>
  </si>
  <si>
    <t>Skin</t>
  </si>
  <si>
    <t>Channel zone (skin pour)</t>
  </si>
  <si>
    <t>Stud zone A (skin pour)</t>
  </si>
  <si>
    <t>Stud zone B (cavity fill)</t>
  </si>
  <si>
    <t>the fill density drives this row; see the lighter-fill rerun below</t>
  </si>
  <si>
    <t>Cladding</t>
  </si>
  <si>
    <t>Steel (studs, tracks, channel)</t>
  </si>
  <si>
    <t>psf × specific heat; small</t>
  </si>
  <si>
    <t>WALL HEAT CAPACITY</t>
  </si>
  <si>
    <t>Btu/(ft²·°F)</t>
  </si>
  <si>
    <t>Concrete only (no steel credit)</t>
  </si>
  <si>
    <t>the number to argue with if the official will not count the steel</t>
  </si>
  <si>
    <t>Verdict</t>
  </si>
  <si>
    <t>IECC mass-wall threshold (R202 definition of Mass wall, R402.2.5)</t>
  </si>
  <si>
    <t>2021 IECC: "heat capacity of at least 6 Btu/(ft²·°F)"; VERIFY the wording in the adopted Montana code</t>
  </si>
  <si>
    <t>Qualifies as a mass wall (with steel)?</t>
  </si>
  <si>
    <t>Qualifies on the concrete alone?</t>
  </si>
  <si>
    <t>Margin over the threshold (with steel)</t>
  </si>
  <si>
    <t>thin: about 5 percent. A lighter fill or a lower measured specific heat loses it.</t>
  </si>
  <si>
    <t>Sensitivity: heat capacity vs fill density with the skins at the Inputs skin density (Options (b), (e))</t>
  </si>
  <si>
    <t>Skins share (skin + channel zone + stud zone A + cladding, 7" at the skin density)</t>
  </si>
  <si>
    <t>the part the fill density cannot touch</t>
  </si>
  <si>
    <t>Steel share</t>
  </si>
  <si>
    <t>Fill share per pcf of fill density</t>
  </si>
  <si>
    <t>Btu/(ft²·°F) per pcf</t>
  </si>
  <si>
    <t>4.5"/12 × 0.2</t>
  </si>
  <si>
    <t>BREAK-EVEN fill density (heat capacity = the threshold)</t>
  </si>
  <si>
    <t>below this fill density the wall stops being a mass wall (with the skins as set)</t>
  </si>
  <si>
    <t>Fill density pcf</t>
  </si>
  <si>
    <t>Mass wall?</t>
  </si>
  <si>
    <t>Margin</t>
  </si>
  <si>
    <t>skins at the skin density + the fill at this density + steel</t>
  </si>
  <si>
    <t>skins at the skin density + the fill at this density + steel (about the break-even)</t>
  </si>
  <si>
    <t>Everything at 17 pcf (skins AND fill)</t>
  </si>
  <si>
    <t>if the R-2.1 mix is the 15 to 20 pcf material the literature curve suggests and it is used for everything: no longer a mass wall</t>
  </si>
  <si>
    <t>Reading it: the skins carry about 4.1 of the 6.5; the fill can drop to about 23 pcf before the wall stops being a mass wall; the margin at 30 pcf fill is about 8 percent. If the R-2.1 mix turns out to be the 15 to 20 pcf material the curve suggests, keep the skins at 35 pcf and use the light mix in the cavity only, or accept the frame-wall rules.</t>
  </si>
  <si>
    <t>What a mass wall buys: (1) the prescriptive target drops from the frame-wall U 0.045 (zone 6) to the mass-wall U 0.060, or 0.057 where most of the added insulation is inside; (2) under the R-value table only the added insulation counts (R-15 outside or R-20 inside in zone 6), and the concrete itself is not "insulation" in that table, which is why the U-factor path is the one to use; (3) in an R405 simulation the thermal mass earns a modest credit on top. The heat-capacity definition is by the wall's own mass; the code official may ask for the specific heat basis, which is why it is yellow.</t>
  </si>
  <si>
    <t>Roof and floor for reference (no code meaning; there is no "mass roof" in the residential code): house roof heat capacity ≈ thickness/12 × density × 0.2; see the Roof tab thickness.</t>
  </si>
  <si>
    <t>Code comparison — 2021 IECC residential (Montana adopted the 2021 IECC with amendments, effective 2022; amendments must be checked)</t>
  </si>
  <si>
    <t>2021 IECC numbering: Table R402.1.2 = maximum assembly U-factors (the U-factor path); Table R402.1.3 = insulation minimum R-values (the R-value alternative). The values below are the model code as published; VERIFY every one against the adopted Montana code and its amendments (the DEQ Residential Energy Code Handbook lists a Montana wall amendment: R-21 or R-20 + 5ci or R-13 + 10ci or R-15ci).</t>
  </si>
  <si>
    <t>Table R402.1.3 insulation minimum R-values (R-values of INSULATION MATERIALS only; the concrete does not count here)</t>
  </si>
  <si>
    <t>Element</t>
  </si>
  <si>
    <t>Selected zone</t>
  </si>
  <si>
    <t>Ceiling</t>
  </si>
  <si>
    <t>60</t>
  </si>
  <si>
    <t>R-49 allowed where the insulation is full depth over the wall top plate (R402.2.1); the roof panel has no attic, so an unvented roof assembly under R806.5 / continuous insulation applies</t>
  </si>
  <si>
    <t>Wood-frame wall</t>
  </si>
  <si>
    <t>20+5ci or 13+10ci or 0+20ci</t>
  </si>
  <si>
    <t>model code (it also lists an R-30 cavity-only option in zones 4 to 8); the Montana amendment reads R-21 or 20+5ci or 13+10ci or 15ci — VERIFY</t>
  </si>
  <si>
    <t>Mass wall (exterior insulation / interior insulation)</t>
  </si>
  <si>
    <t>13 / 17</t>
  </si>
  <si>
    <t>15 / 20</t>
  </si>
  <si>
    <t>19 / 21</t>
  </si>
  <si>
    <t>the second number applies where more than half the insulation is on the interior</t>
  </si>
  <si>
    <t>Floor</t>
  </si>
  <si>
    <t>30</t>
  </si>
  <si>
    <t>38</t>
  </si>
  <si>
    <t>over unconditioned space or outdoor air</t>
  </si>
  <si>
    <t>Table R402.1.2 maximum assembly U-factors (the whole assembly, films included — the path that fits a concrete panel)</t>
  </si>
  <si>
    <t>Ceiling / roof</t>
  </si>
  <si>
    <t>2021 IECC (R-60 basis); 2018 was 0.026</t>
  </si>
  <si>
    <t>Frame wall</t>
  </si>
  <si>
    <t>2021 IECC (R-20 + 5ci basis)</t>
  </si>
  <si>
    <t>Mass wall, insulation outside or none</t>
  </si>
  <si>
    <t>model code Table R402.1.2 mass-wall column</t>
  </si>
  <si>
    <t>Mass wall, more than half of the insulation inside (footnote)</t>
  </si>
  <si>
    <t>Table R402.1.2 footnote b limits (0.065 zone 5, 0.057 zones 6 to 8) — VERIFY</t>
  </si>
  <si>
    <t>2021 IECC (R-30 / R-38 basis)</t>
  </si>
  <si>
    <t>Mass wall U target that applies (Inputs: interior-insulation flag)</t>
  </si>
  <si>
    <t>VERIFY against the adopted Montana code (2021 IECC with Montana amendments, DEQ handbook) and the local jurisdiction before relying on any number in these two tables. Fenestration U 0.30 and the slab-edge R-10 are outside this workbook.</t>
  </si>
  <si>
    <t>Does the assembly pass? (effective U from the Wall / Roof / Floor tabs, selected method)</t>
  </si>
  <si>
    <t>Element and path</t>
  </si>
  <si>
    <t>Assembly U</t>
  </si>
  <si>
    <t>Required U (selected zone)</t>
  </si>
  <si>
    <t>PASS / FAIL</t>
  </si>
  <si>
    <t>Shortfall as added R (1/U_req − 1/U)</t>
  </si>
  <si>
    <t>House wall as a FRAME wall</t>
  </si>
  <si>
    <t>if the official will not accept the mass-wall path</t>
  </si>
  <si>
    <t>House wall as a MASS wall</t>
  </si>
  <si>
    <t>Mass wall tab must say YES; the target follows the interior-insulation flag</t>
  </si>
  <si>
    <t>House roof (13.5", 800S162-68)</t>
  </si>
  <si>
    <t>ceiling / roof row</t>
  </si>
  <si>
    <t>Shower-house roof (11.5", 600S162-54) against the RESIDENTIAL ceiling U</t>
  </si>
  <si>
    <t>for information only: the shower house is not a dwelling (commercial block below)</t>
  </si>
  <si>
    <t>Shower-house floor panel against the RESIDENTIAL floor U</t>
  </si>
  <si>
    <t>for information only, same reason</t>
  </si>
  <si>
    <t>Shortfall = the continuous R that must be ADDED (in series) for the assembly to meet the U target; the Options tab turns it into inches of board. Adding a continuous layer also reduces the steel bridging a little (the parallel path with the board on both paths), so the exact requirement is slightly less than this series estimate; Options (a) checks it.</t>
  </si>
  <si>
    <t>Shower house — NOT a dwelling: IECC commercial provisions (C402) / ASHRAE 90.1 apply, "all other" occupancy</t>
  </si>
  <si>
    <t>Roof, insulation entirely above deck (IEAD), U</t>
  </si>
  <si>
    <t>IECC 2021 C402.1.4 / 90.1 Table 5.5 (R-30ci basis zones 5 and 6, R-35ci zone 7) — VERIFY</t>
  </si>
  <si>
    <t>Mass wall above grade, U ("all other")</t>
  </si>
  <si>
    <t>IECC 2021 C402.1.4 (R-11.4ci to R-13.3ci basis) — VERIFY; Group R is stricter</t>
  </si>
  <si>
    <t>Mass floor, U</t>
  </si>
  <si>
    <t>IECC 2021 C402.1.4 mass floor (R-14.6ci basis) — VERIFY</t>
  </si>
  <si>
    <t>Shower house element</t>
  </si>
  <si>
    <t>Required U (commercial, selected zone)</t>
  </si>
  <si>
    <t>Shortfall as added R</t>
  </si>
  <si>
    <t>Shower-house wall (same 11.5" panel) as a commercial mass wall</t>
  </si>
  <si>
    <t>the commercial mass-wall definition is by heat capacity too (C402.2.4 / 90.1: ≥ 7 Btu/ft²·°F, or ≥ 5 with a light-weight material) — the Mass wall tab number decides</t>
  </si>
  <si>
    <t>Shower-house roof as a commercial IEAD roof</t>
  </si>
  <si>
    <t>Shower-house floor as a commercial mass floor</t>
  </si>
  <si>
    <t>Semi-heated: ASHRAE 90.1 (and IECC C402 by reference) has a lighter "semiheated" envelope column for spaces whose heating capacity is only enough for freeze protection (at or above 3.4 Btu/h per ft² but under the conditioned-space threshold of 90.1 Table 3.1, which is on the order of 15 Btu/h per ft² in zone 6). A shower house with a small wall heater sized for freeze protection may fit; a shower house heated for comfort does not. The semiheated requirements are roughly half the conditioned ones; the column is not reproduced here because it is a code-official call and the exact figures must come from the adopted edition.</t>
  </si>
  <si>
    <t>Options to meet code — each recomputes from the Inputs</t>
  </si>
  <si>
    <t>(a) continuous insulation, (b) lighter fill, (c) deeper studs, (d) the total-UA / performance path. Wall thickness and weight consequences are on each line.</t>
  </si>
  <si>
    <t>(a) Continuous insulation (ci) to close each gap — inches by product = shortfall R ÷ (R per inch)</t>
  </si>
  <si>
    <t>Element and path (Code tab)</t>
  </si>
  <si>
    <t>Shortfall R</t>
  </si>
  <si>
    <t>EPS in</t>
  </si>
  <si>
    <t>XPS in</t>
  </si>
  <si>
    <t>Polyiso in</t>
  </si>
  <si>
    <t>Mineral wool in</t>
  </si>
  <si>
    <t>Thickness / weight consequence</t>
  </si>
  <si>
    <t>House wall as a frame wall</t>
  </si>
  <si>
    <t>House wall as a mass wall (target per the interior flag)</t>
  </si>
  <si>
    <t>House roof</t>
  </si>
  <si>
    <t>Shower-house wall, commercial mass wall</t>
  </si>
  <si>
    <t>Shower-house roof, commercial IEAD</t>
  </si>
  <si>
    <t>Shower-house floor, commercial mass floor</t>
  </si>
  <si>
    <t>Round up to the stock thickness (board comes in 1/2" steps; polyiso in 1", 1.5", 2", 2.5", 3", 4"). Inside the house the board goes between the skin and a finish (furring + drywall) and the interior-insulation flag on Inputs must be 1 (target 0.057 in zones 6 to 8). Outside it goes over the cladding under a finish or is cast into the cladding pour (a board between the studs' outside flanges and the cladding is the cleanest thermal break, but the cladding then needs its own fasteners through the board: PE). Polyiso is shown green because it is the thinnest per R; EPS is the cheapest per R and the one that tolerates being cast against wet concrete.</t>
  </si>
  <si>
    <t>Check: mass-wall polyiso from the table above, recomputed with the board in the assembly (same method selector as the Wall tab)</t>
  </si>
  <si>
    <t>Polyiso inches (mass-wall row)</t>
  </si>
  <si>
    <t>R added</t>
  </si>
  <si>
    <t>U with the board, parallel path = ff/(R_steel + R_ci) + (1 − ff)/(R_clear + R_ci)</t>
  </si>
  <si>
    <t>the board reduces the bridging a little</t>
  </si>
  <si>
    <t>U with the board, isothermal planes = 1/(R_iso + R_ci)</t>
  </si>
  <si>
    <t>U with the board, selected method</t>
  </si>
  <si>
    <t>Required mass-wall U</t>
  </si>
  <si>
    <t>Passes?</t>
  </si>
  <si>
    <t>(b) Lower the fill density — the wall R at 30 / 25 / 20 pcf fill (everything else as the Inputs)</t>
  </si>
  <si>
    <t>The row at the Inputs fill density carries the k USED (measured when the selectors say so); the other densities are the literature fit with the moisture allowance, because there is no measurement at those densities.</t>
  </si>
  <si>
    <t>k fill</t>
  </si>
  <si>
    <t>R clear wall</t>
  </si>
  <si>
    <t>R parallel path</t>
  </si>
  <si>
    <t>R isothermal planes</t>
  </si>
  <si>
    <t>R effective (selected method)</t>
  </si>
  <si>
    <t>U effective</t>
  </si>
  <si>
    <t>Verdict vs the mass-wall U target</t>
  </si>
  <si>
    <t>Trade-off: the 4.5" of fill is only about 40 percent of the wall's R, so dropping from 30 to 20 pcf buys about R-1 effective (R-2.6 clear wall) and costs the mass-wall status (heat capacity drops under 6 at 25 pcf with the 0.2 specific heat), and a 20 to 25 pcf cellular concrete has roughly a quarter to a half of the 30 pcf compressive strength, is more fragile to pump and more prone to shrinkage cracking; the fill braces the studs and carries the cladding screws, so the PE package (docs/engineering/pe-package.md) must approve any change. The k fit is a curve, so lighter fill helps less than a straight line would suggest.</t>
  </si>
  <si>
    <t>(c) Deeper studs in the wall — 8" 800S162 (13.5" wall) instead of 6" (11.5")</t>
  </si>
  <si>
    <t>Alternative stud depth</t>
  </si>
  <si>
    <t>800S162-54 or -68; the roof already uses this section</t>
  </si>
  <si>
    <t>Fill depth (skin pour unchanged at 5")</t>
  </si>
  <si>
    <t>R steel path</t>
  </si>
  <si>
    <t>method 3 averages the two U-factors, as the Wall tab does</t>
  </si>
  <si>
    <t>Gain over the 6" wall</t>
  </si>
  <si>
    <t>about R-1 effective per extra 2" of 30 pcf fill (the clear wall gains about R-1.8; the deeper steel takes some of it back)</t>
  </si>
  <si>
    <t>Weight added</t>
  </si>
  <si>
    <t>plus heavier studs</t>
  </si>
  <si>
    <t>Heat capacity</t>
  </si>
  <si>
    <t>comfortably a mass wall</t>
  </si>
  <si>
    <t>A deeper stud adds R at about 1 per inch of fill, adds weight, widens every jamb, sill and track, and changes the PE's stud design (a 6" stud was chosen because the fill braces it). It moves the wall a couple of R points, it does not close a zone-6 gap on its own.</t>
  </si>
  <si>
    <t>(d) Total UA alternative (2021 IECC R402.1.5, what REScheck computes) and the R405 simulated performance path — trade the wall against the windows and roof</t>
  </si>
  <si>
    <t>R402.1.5: the proposed envelope UA (Σ U × area) must not exceed the reference UA built from the Table R402.1.2 U-factors on the same areas. Mass walls use the mass-wall U in the reference. Windows that beat U 0.30, or a roof that beats 0.024, earn UA that the wall can spend. R405 goes further (an annual energy simulation where the thermal mass earns a modest credit) and is the path most likely to carry a concrete house; a HERS rater or energy modeler runs it.</t>
  </si>
  <si>
    <t>Component</t>
  </si>
  <si>
    <t>Area sf</t>
  </si>
  <si>
    <t>Reference U</t>
  </si>
  <si>
    <t>Reference UA</t>
  </si>
  <si>
    <t>Proposed U</t>
  </si>
  <si>
    <t>Proposed UA</t>
  </si>
  <si>
    <t>Opaque wall (mass-wall reference)</t>
  </si>
  <si>
    <t>Wall tab effective U; reference = the mass-wall target</t>
  </si>
  <si>
    <t>Windows + clerestory</t>
  </si>
  <si>
    <t>Inputs (yellow): the proposed window U is where a wall shortfall is usually bought back</t>
  </si>
  <si>
    <t>Door</t>
  </si>
  <si>
    <t>treated as fenestration</t>
  </si>
  <si>
    <t>Roof</t>
  </si>
  <si>
    <t>Roof tab house roof</t>
  </si>
  <si>
    <t>TOTAL UA (Btu/h·°F)</t>
  </si>
  <si>
    <t>proposed must be ≤ reference</t>
  </si>
  <si>
    <t>Proposed UA ≤ reference UA?</t>
  </si>
  <si>
    <t>Wall U that would make the totals equal (everything else as proposed)</t>
  </si>
  <si>
    <t>if negative, the windows and roof cannot buy the wall back; fix the roof first</t>
  </si>
  <si>
    <t xml:space="preserve">    as a wall R</t>
  </si>
  <si>
    <t xml:space="preserve">    ci on the wall to get there (polyiso in)</t>
  </si>
  <si>
    <t>Roof U that would make the totals equal (wall and windows as proposed)</t>
  </si>
  <si>
    <t xml:space="preserve">    ci on the roof to get there (polyiso in)</t>
  </si>
  <si>
    <t>(d) continued: the realistic sequence — roof insulated to its code U first, then the windows buy down the wall</t>
  </si>
  <si>
    <t>Wall U needed with the roof at its code U and the windows as proposed</t>
  </si>
  <si>
    <t>reference UA less the proposed window and door UA less the roof at the reference U, over the wall area</t>
  </si>
  <si>
    <t xml:space="preserve">    polyiso on the wall to get there</t>
  </si>
  <si>
    <t>compare with the prescriptive mass-wall polyiso in (a)</t>
  </si>
  <si>
    <t>Better windows: alternative proposed window U (triple pane)</t>
  </si>
  <si>
    <t>ASSUMPTION; NFRC label governs</t>
  </si>
  <si>
    <t>Wall U needed with the roof at code and the better windows</t>
  </si>
  <si>
    <t>Wall R with no ci at all: window U that would carry it (roof at code)</t>
  </si>
  <si>
    <t>if this is below about 0.15 no window on the market does it; the wall then needs ci regardless</t>
  </si>
  <si>
    <t>What the UA path does to the wall: nothing physical; it lets a thinner wall pass by over-performing elsewhere. In practice the roof is the element with the biggest UA deficit here, so the sequence is: insulate the roof to the code U (it must be done anyway), buy good windows, then see how much ci the wall still needs. The slab edge (R-10, 4 ft) and infiltration (Montana amendment: 4 ACH50) are separate mandatory items, not tradeable.</t>
  </si>
  <si>
    <t>(e) Unfilled cavity with mineral wool, cellular cladding on: 5" skin pour + 4.5" batt in the stud cavity + 2" cladding (no pumped fill)</t>
  </si>
  <si>
    <t>Batt R-value in the 4.5" cavity (mineral wool or fiberglass, nominal)</t>
  </si>
  <si>
    <t>ASSUMPTION: R-19 is the 90.1 table entry for a 6" stud; a 4.5" mineral-wool batt is nominally R-15 to R-19 depending on product, product data governs</t>
  </si>
  <si>
    <t>ASHRAE 90.1 steel-stud correction factor Fc (6" studs at 16" o.c., R-19)</t>
  </si>
  <si>
    <t>×</t>
  </si>
  <si>
    <t>ASHRAE 90.1 Appendix A, Table A9.2B (Table A3.3 in older editions), "Effective R-values for metal framing and cavity": 6" studs at 16" o.c. with R-19 → Fc 0.37, effective R-7.1. This factor replaces the parallel-path / isothermal-planes averaging for a batt cavity because that table is what a code official uses for insulated steel-stud walls.</t>
  </si>
  <si>
    <t>Effective cavity R = batt R × Fc</t>
  </si>
  <si>
    <t>the "metal framing and cavity" layer</t>
  </si>
  <si>
    <t>Cellular concrete in the (e) wall (skin pour + cladding)</t>
  </si>
  <si>
    <t>7": the 1.5" of stud embedded in the skin pour is counted as concrete (the 90.1 factor covers the stud layer; that 1.5" is a small extra bridge the factor does not see)</t>
  </si>
  <si>
    <t>(e) wall heat capacity (skins only + steel; the wool is negligible)</t>
  </si>
  <si>
    <t>vs the 6 threshold on the Mass wall tab</t>
  </si>
  <si>
    <t>(e) wall is a mass wall?</t>
  </si>
  <si>
    <t>(e) wall weight (concrete + steel + batt)</t>
  </si>
  <si>
    <t>about 0.6 psf for 4.5" of mineral wool batt; the filled wall is on the Wall tab</t>
  </si>
  <si>
    <t>Residential target: frame wall U (Code tab, selected zone)</t>
  </si>
  <si>
    <t>Code tab Table R402.1.2 frame wall</t>
  </si>
  <si>
    <t>Commercial target: steel-framed wall above grade U, "all other" (shower house)</t>
  </si>
  <si>
    <t>IECC 2021 C402.1.4 metal-framed wall, zones 4 to 7 (R-13 + 7.5ci basis) as carried; ASHRAE 90.1 Table 5.5 is tighter (about 0.055 zone 5, 0.049 zone 6 for nonresidential) — VERIFY against the adopted code</t>
  </si>
  <si>
    <t>Side by side for the three k cases. The filled wall is the Wall tab assembly recomputed for each case with the Inputs method selector; the (e) wall uses the 90.1 factor for its cavity and the skin k for the 7" of cellular concrete.</t>
  </si>
  <si>
    <t>k case</t>
  </si>
  <si>
    <t>k skin / cladding</t>
  </si>
  <si>
    <t>FILLED wall R eff (U)</t>
  </si>
  <si>
    <t>Filled: mass-wall target result</t>
  </si>
  <si>
    <t>(e) WOOL wall R eff</t>
  </si>
  <si>
    <t>(e) U</t>
  </si>
  <si>
    <t>(e) vs residential frame U: result, polyiso in</t>
  </si>
  <si>
    <t>(e) vs commercial steel-framed U: result, polyiso in</t>
  </si>
  <si>
    <t>Measured R-2.1/in on ALL cellular concrete</t>
  </si>
  <si>
    <t>Measured on the FILL ONLY; literature skins</t>
  </si>
  <si>
    <t>Literature fit + moisture allowance (before the test)</t>
  </si>
  <si>
    <t>(e) What changes besides thermal</t>
  </si>
  <si>
    <t>Loses: the mass-wall status (heat capacity about 4.3 against the 6 threshold), so the wall is judged as a steel-framed wall at the frame-wall U (0.045 residential zone 6; commercial steel-framed value for the shower house) instead of the mass-wall U (0.060); and it loses the thermal mass itself, the flywheel that flattens the daily swing and earns credit in an R405 simulation.</t>
  </si>
  <si>
    <t>Loses: the composite action and bracing of a full cavity (the 30 pcf fill braces the studs, stiffens the panel and carries the cladding screws), so the PE package has to re-check the stud design and the cladding attachment for an open cavity; also the sound and fire benefit of a solid wall (a filled cavity has no path for flame or noise; a batt cavity is an ordinary steel-stud wall with a concrete skin).</t>
  </si>
  <si>
    <t>Needs: a warm-side vapor retarder over the skin pour and a dew-point check on the cladding, because a 2" concrete cladding on the cold side of a batt cavity will sit below the dew point of indoor air for much of a Montana winter and the batt does not stop vapor; that is an energy consultant / WUFI hygrothermal check, not a hand calculation. Mineral wool tolerates wetting better than fiberglass, which is why it is the batt named here.</t>
  </si>
  <si>
    <t>Gains: no pumping on site (the fill phase and its labor line go away), an open cavity for wire, plumbing and any later changes until the cladding goes on, and a lighter wall (about 22 psf against 33).</t>
  </si>
  <si>
    <t>Cost: not priced here. The estimate workbook (docs/estimate/wall-panel-estimate.xlsx, Walls tab) carries the cavity-fill line (yd³ at the mix $/yd³ plus pump labor); the batt, the vapor retarder and any extra fasteners would replace it. Do not invent dollars for this option; price it there.</t>
  </si>
  <si>
    <t>Compare: Ken's measured R-2.1 per inch against common materials, and k versus density</t>
  </si>
  <si>
    <t>Typical published values (ASHRAE Handbook Fundamentals material tables, design values) except the two highlighted rows. k in Btu·in/(h·ft²·°F); R per inch = 1/k. The ratio column is each material's k divided by the measured k: above 1 conducts more than our concrete, below 1 insulates better.</t>
  </si>
  <si>
    <t>k basis in use on the Wall / Roof / Floor tabs</t>
  </si>
  <si>
    <t>Inputs selectors</t>
  </si>
  <si>
    <t>(a) Material comparison</t>
  </si>
  <si>
    <t>Material</t>
  </si>
  <si>
    <t>× our measured (k ÷ measured k)</t>
  </si>
  <si>
    <t>Source / note</t>
  </si>
  <si>
    <t>Steel stud (carbon steel)</t>
  </si>
  <si>
    <t>Inputs; about 45 W/m·K</t>
  </si>
  <si>
    <t>Normal-weight concrete, 145 pcf</t>
  </si>
  <si>
    <t>typical published 9 to 12; 10.5 used</t>
  </si>
  <si>
    <t>Lightweight structural concrete, 100 pcf</t>
  </si>
  <si>
    <t>typical published value</t>
  </si>
  <si>
    <t>Gypsum board</t>
  </si>
  <si>
    <t>Our cellular concrete, 35 pcf, literature (dry fit)</t>
  </si>
  <si>
    <t>k-values tab power fit, oven-dry (× 1.2 with the moisture allowance)</t>
  </si>
  <si>
    <t>Our cellular concrete, 30 pcf, literature (dry fit)</t>
  </si>
  <si>
    <t>k-values tab power fit, oven-dry</t>
  </si>
  <si>
    <t>OUR MEASURED cellular concrete, Ken's test 12 Sep 2026</t>
  </si>
  <si>
    <t>Inputs: 1 / (R-2.1 per inch); density and moisture of the specimen not recorded</t>
  </si>
  <si>
    <t>Softwood (framing lumber)</t>
  </si>
  <si>
    <t>Autoclaved aerated concrete (AAC), 31 pcf</t>
  </si>
  <si>
    <t>Cellular concrete, 20 pcf, literature (dry fit)</t>
  </si>
  <si>
    <t>k-values tab power fit; ASHRAE lists 0.8 for a 20 pcf polystyrene-aggregate concrete</t>
  </si>
  <si>
    <t>Fiberglass batt</t>
  </si>
  <si>
    <t>typical published value (R-3.4 per inch)</t>
  </si>
  <si>
    <t>EPS</t>
  </si>
  <si>
    <t>typical published value (R-3.8 per inch)</t>
  </si>
  <si>
    <t>typical published value (R-4.2 per inch)</t>
  </si>
  <si>
    <t>typical published value (R-5 per inch)</t>
  </si>
  <si>
    <t>Polyiso, aged</t>
  </si>
  <si>
    <t>typical published value (R-6 per inch aged)</t>
  </si>
  <si>
    <t>Reading it: R-2.1 per inch sits between AAC (R-1.25) and fiberglass batt (R-3.4), about 2.3 times better than the 30 pcf literature value and 4.4 times better than gypsum board. On the literature curve (k-values tab) a k of 0.48 corresponds to roughly 15 to 20 pcf material, so either the tested mix is lighter than the 30 pcf in the config or the foam is doing better than the published curve. Record the density and the moisture state of the specimen and repeat the test to ASTM C518 before the number goes on a proposal.</t>
  </si>
  <si>
    <t>(b) k versus density: the literature curve, the ACI 122R (Valore) relation and the measured point</t>
  </si>
  <si>
    <t>Assumed density of the measured specimen for the chart</t>
  </si>
  <si>
    <t>replace with the test density when it is recorded; the point moves along the x-axis, nothing else changes</t>
  </si>
  <si>
    <t>Measured k (the y of the point)</t>
  </si>
  <si>
    <t>Literature k at that density (for the gap)</t>
  </si>
  <si>
    <t>oven-dry fit</t>
  </si>
  <si>
    <t>Measured ÷ literature at that density</t>
  </si>
  <si>
    <t>under 1 = the mix beats the published curve</t>
  </si>
  <si>
    <t>Density the literature curve would assign to the measured k</t>
  </si>
  <si>
    <t>inverting k = a ρ^b</t>
  </si>
  <si>
    <t>Chart data (formulas)</t>
  </si>
  <si>
    <t>Literature fit, dry</t>
  </si>
  <si>
    <t>Measured point</t>
  </si>
  <si>
    <t>Ken's measured point at the assumed density</t>
  </si>
  <si>
    <t>Sources and method notes</t>
  </si>
  <si>
    <t>HOW TO READ: k (thermal conductivity, Btu·in per h·ft²·°F) is how fast heat gets through one inch; R per inch = 1/k; a layer's R = thickness/k; the assembly R adds the layers and the two air films; U = 1/R is what the code tables use. Steel studs are parallel short-circuits, combined by the parallel-path (the higher-R estimate) and isothermal-planes (the lower-R bound) methods; the workbook averages them until a 2-D calculation or a hot-box test replaces the estimate.</t>
  </si>
  <si>
    <t>k-values: ASHRAE Handbook — Fundamentals, chapter on Heat, Air and Moisture Control in Building Assemblies — Material Properties, table of typical thermal properties of building and insulating materials (design values): "Foam concretes" 40 pcf → 1.3, 60 → 2.1, 80 → 3.0, 100 → 4.1; "Perlite, vermiculite and polystyrene aggregate" concretes 20 → 0.8, 30 → 1.1, 40 → 1.4 to 1.5, 50 → 1.8 to 1.9. The working curve is a power fit through the foam-concrete points.</t>
  </si>
  <si>
    <t>ACI 523.1R, Guide for Cast-in-Place Low-Density Cellular Concrete (oven-dry densities of 50 pcf and under): materials, properties (including a thermal-conductivity section), handling and applications. ACI 523.3R, Guide for Cellular Concretes above 50 lb/ft³. ACI 122R, Guide to Thermal Properties of Concrete and Masonry Systems (k vs density relations, moisture effects, thermal mass). The ACI tables were not reproduced here (paywalled); the numbers are anchored on ASHRAE and the open literature and land in the same band.</t>
  </si>
  <si>
    <t>Foamed-concrete literature (SI, oven-dry): Ramamurthy, Nambiar and Ranjani, "A classification of studies on properties of foam concrete", Cement and Concrete Composites 2009 (about 0.1 to 0.7 W/m·K over 600 to 1600 kg/m³); Amran, Farzadnia and Abang Ali, "Properties and applications of foamed concrete; a review", Construction and Building Materials 2015; Mydin and Wang (2012) on thermal properties of foamed concrete at 650 to 1000 kg/m³; the 2023 MDPI/PMC study of mechanically vs chemically foamed concrete (0.116 W/m·K at 600 kg/m³); the 2024 ScienceDirect review of ultra-light foamed concrete.</t>
  </si>
  <si>
    <t>Moisture: ACI 122R and the ASHRAE chapter both say k rises with moisture content; the workbook carries a 20 percent allowance as a placeholder. ASTM C518 (heat-flow meter) or C177 (guarded hot plate) on Ken's mix, at a stated conditioning, is the number that goes on a proposal.</t>
  </si>
  <si>
    <t>Steel: k about 314 Btu·in/(h·ft²·°F) (45 W/m·K); AISI / SFIA design thickness 0.0538" for 54 mil and 0.0713" for 68 mil.</t>
  </si>
  <si>
    <t>Assembly methods: ASHRAE Fundamentals, chapter on Heat, Air and Moisture Control in Building Assemblies — Examples (parallel path, isothermal planes, zone method for metal framing). ASHRAE 90.1 Appendix A (Rated R-value of insulation and assembly U-factor tables; steel-frame correction factors) for insulated steel-stud walls. THERM (LBNL) 2-D calculation or ASTM C1363 hot-box test for a novel assembly.</t>
  </si>
  <si>
    <t>Code: 2021 IECC Chapter 4 [RE]: R202 mass wall definition and R402.2.5 (heat capacity ≥ 6 Btu/ft²·°F), Table R402.1.2 (U-factors), Table R402.1.3 (R-values), R402.1.5 total UA alternative, R405 simulated performance; Chapter 4 [CE] C402 for the shower house; ASHRAE 90.1 semiheated definitions. Montana adopted the 2021 IECC with amendments in 2022 (Montana DEQ Residential Energy Code Handbook; amendments include the 4 ACH50 tightness limit and a wall-insulation option list); VERIFY the tables and the county climate zone against the adopted text.</t>
  </si>
  <si>
    <t>Measured value: Ken's current test, 12 Sep 2026, R-2.1 per inch (k 0.476), density and moisture state of the specimen not recorded; used as measured (no moisture allowance) when the Inputs k-source selector is 1. The Compare tab sets it against published materials and the literature curve.</t>
  </si>
  <si>
    <t>Config: layer thicknesses, stud sections, spacings and densities from public/config/wall.config.json and src/pricing/basis.js (floor panel), docs/wall-spec-v1.md (roof stack, roof area), read the day the workbook was built. Regenerate with python scripts/build-thermal.py, then recalculate in Excel.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</si>
</sst>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
    <numFmt numFmtId="166" formatCode="0.0"/>
    <numFmt numFmtId="167" formatCode="0.0000"/>
    <numFmt numFmtId="168" formatCode="0.00000"/>
    <numFmt numFmtId="169" formatCode="&quot;Zone &quot;0"/>
  </numFmts>
  <fonts count="11" x14ac:knownFonts="1">
    <font>
      <sz val="11"/>
      <color theme="1"/>
      <name val="Calibri"/>
      <family val="2"/>
      <scheme val="minor"/>
    </font>
    <font>
      <b/>
      <sz val="14"/>
      <name val="Arial"/>
    </font>
    <font>
      <i/>
      <sz val="9"/>
      <color rgb="FF555555"/>
      <name val="Arial"/>
    </font>
    <font>
      <b/>
      <sz val="10"/>
      <name val="Arial"/>
    </font>
    <font>
      <sz val="10"/>
      <name val="Arial"/>
    </font>
    <font>
      <sz val="10"/>
      <color rgb="FF0000FF"/>
      <name val="Arial"/>
    </font>
    <font>
      <sz val="9"/>
      <color rgb="FF555555"/>
      <name val="Arial"/>
    </font>
    <font>
      <b/>
      <sz val="10"/>
      <color rgb="FF000000"/>
      <name val="Arial"/>
    </font>
    <font>
      <sz val="10"/>
      <color rgb="FF000000"/>
      <name val="Arial"/>
    </font>
    <font>
      <b/>
      <sz val="9"/>
      <color rgb="FF9C0006"/>
      <name val="Arial"/>
    </font>
    <font>
      <sz val="11"/>
      <color theme="1"/>
      <name val="Arial"/>
    </font>
  </fonts>
  <fills count="5">
    <fill>
      <patternFill patternType="none"/>
    </fill>
    <fill>
      <patternFill patternType="gray125"/>
    </fill>
    <fill>
      <patternFill patternType="solid">
        <fgColor rgb="FFEEEEEE"/>
      </patternFill>
    </fill>
    <fill>
      <patternFill patternType="solid">
        <fgColor rgb="FFFFFF99"/>
      </patternFill>
    </fill>
    <fill>
      <patternFill patternType="solid">
        <fgColor rgb="FFE2F0D9"/>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76">
    <xf numFmtId="0" fontId="0" fillId="0" borderId="0" xfId="0"/>
    <xf numFmtId="0" fontId="1" fillId="0" borderId="0" xfId="0" applyFont="1"/>
    <xf numFmtId="0" fontId="10" fillId="0" borderId="0" xfId="0" applyFont="1"/>
    <xf numFmtId="0" fontId="3" fillId="2" borderId="0" xfId="0" applyFont="1" applyFill="1"/>
    <xf numFmtId="0" fontId="10" fillId="2" borderId="0" xfId="0" applyFont="1" applyFill="1"/>
    <xf numFmtId="0" fontId="4" fillId="0" borderId="0" xfId="0" applyFont="1"/>
    <xf numFmtId="1" fontId="5" fillId="3" borderId="0" xfId="0" applyNumberFormat="1" applyFont="1" applyFill="1"/>
    <xf numFmtId="0" fontId="6" fillId="0" borderId="0" xfId="0" applyFont="1"/>
    <xf numFmtId="0" fontId="6" fillId="0" borderId="0" xfId="0" applyFont="1" applyAlignment="1">
      <alignment vertical="top" wrapText="1"/>
    </xf>
    <xf numFmtId="1" fontId="5" fillId="0" borderId="0" xfId="0" applyNumberFormat="1" applyFont="1"/>
    <xf numFmtId="164" fontId="5" fillId="3" borderId="0" xfId="0" applyNumberFormat="1" applyFont="1" applyFill="1"/>
    <xf numFmtId="165" fontId="5" fillId="3" borderId="0" xfId="0" applyNumberFormat="1" applyFont="1" applyFill="1"/>
    <xf numFmtId="2" fontId="5" fillId="3" borderId="0" xfId="0" applyNumberFormat="1" applyFont="1" applyFill="1"/>
    <xf numFmtId="0" fontId="3" fillId="0" borderId="0" xfId="0" applyFont="1"/>
    <xf numFmtId="165" fontId="7" fillId="0" borderId="0" xfId="0" applyNumberFormat="1" applyFont="1"/>
    <xf numFmtId="165" fontId="8" fillId="0" borderId="0" xfId="0" applyNumberFormat="1" applyFont="1"/>
    <xf numFmtId="0" fontId="5" fillId="3" borderId="0" xfId="0" applyFont="1" applyFill="1"/>
    <xf numFmtId="165" fontId="7" fillId="3" borderId="0" xfId="0" applyNumberFormat="1" applyFont="1" applyFill="1"/>
    <xf numFmtId="0" fontId="7" fillId="0" borderId="0" xfId="0" applyFont="1"/>
    <xf numFmtId="2" fontId="5" fillId="0" borderId="0" xfId="0" applyNumberFormat="1" applyFont="1"/>
    <xf numFmtId="2" fontId="8" fillId="0" borderId="0" xfId="0" applyNumberFormat="1" applyFont="1"/>
    <xf numFmtId="2" fontId="7" fillId="0" borderId="0" xfId="0" applyNumberFormat="1" applyFont="1"/>
    <xf numFmtId="166" fontId="8" fillId="0" borderId="0" xfId="0" applyNumberFormat="1" applyFont="1"/>
    <xf numFmtId="0" fontId="5" fillId="0" borderId="0" xfId="0" applyFont="1"/>
    <xf numFmtId="165" fontId="5" fillId="0" borderId="0" xfId="0" applyNumberFormat="1" applyFont="1"/>
    <xf numFmtId="167" fontId="5" fillId="0" borderId="0" xfId="0" applyNumberFormat="1" applyFont="1"/>
    <xf numFmtId="1" fontId="8" fillId="0" borderId="0" xfId="0" applyNumberFormat="1" applyFont="1"/>
    <xf numFmtId="164" fontId="8" fillId="0" borderId="0" xfId="0" applyNumberFormat="1" applyFont="1"/>
    <xf numFmtId="164" fontId="7" fillId="0" borderId="0" xfId="0" applyNumberFormat="1" applyFont="1"/>
    <xf numFmtId="10" fontId="8" fillId="0" borderId="0" xfId="0" applyNumberFormat="1" applyFont="1"/>
    <xf numFmtId="166" fontId="5" fillId="3" borderId="0" xfId="0" applyNumberFormat="1" applyFont="1" applyFill="1"/>
    <xf numFmtId="166" fontId="5" fillId="0" borderId="0" xfId="0" applyNumberFormat="1" applyFont="1"/>
    <xf numFmtId="167" fontId="8" fillId="0" borderId="0" xfId="0" applyNumberFormat="1" applyFont="1"/>
    <xf numFmtId="168" fontId="8" fillId="0" borderId="0" xfId="0" applyNumberFormat="1" applyFont="1"/>
    <xf numFmtId="0" fontId="3" fillId="2" borderId="1" xfId="0" applyFont="1" applyFill="1" applyBorder="1" applyAlignment="1">
      <alignment horizontal="center" vertical="center" wrapText="1"/>
    </xf>
    <xf numFmtId="1" fontId="5" fillId="0" borderId="1" xfId="0" applyNumberFormat="1" applyFont="1" applyBorder="1"/>
    <xf numFmtId="1" fontId="8" fillId="0" borderId="1" xfId="0" applyNumberFormat="1" applyFont="1" applyBorder="1"/>
    <xf numFmtId="2" fontId="5" fillId="0" borderId="1" xfId="0" applyNumberFormat="1" applyFont="1" applyBorder="1"/>
    <xf numFmtId="165" fontId="7" fillId="3" borderId="1" xfId="0" applyNumberFormat="1" applyFont="1" applyFill="1" applyBorder="1"/>
    <xf numFmtId="165" fontId="8" fillId="0" borderId="1" xfId="0" applyNumberFormat="1" applyFont="1" applyBorder="1"/>
    <xf numFmtId="165" fontId="5" fillId="0" borderId="1" xfId="0" applyNumberFormat="1" applyFont="1" applyBorder="1"/>
    <xf numFmtId="0" fontId="6" fillId="0" borderId="1" xfId="0" applyFont="1" applyBorder="1" applyAlignment="1">
      <alignment vertical="top" wrapText="1"/>
    </xf>
    <xf numFmtId="2" fontId="6" fillId="0" borderId="1" xfId="0" applyNumberFormat="1" applyFont="1" applyBorder="1"/>
    <xf numFmtId="0" fontId="4" fillId="0" borderId="1" xfId="0" applyFont="1" applyBorder="1"/>
    <xf numFmtId="0" fontId="6" fillId="0" borderId="1" xfId="0" applyFont="1" applyBorder="1"/>
    <xf numFmtId="2" fontId="8" fillId="0" borderId="1" xfId="0" applyNumberFormat="1" applyFont="1" applyBorder="1"/>
    <xf numFmtId="167" fontId="8" fillId="0" borderId="1" xfId="0" applyNumberFormat="1" applyFont="1" applyBorder="1"/>
    <xf numFmtId="0" fontId="3" fillId="0" borderId="1" xfId="0" applyFont="1" applyBorder="1"/>
    <xf numFmtId="2" fontId="7" fillId="0" borderId="1" xfId="0" applyNumberFormat="1" applyFont="1" applyBorder="1"/>
    <xf numFmtId="167" fontId="7" fillId="0" borderId="1" xfId="0" applyNumberFormat="1" applyFont="1" applyBorder="1"/>
    <xf numFmtId="167" fontId="7" fillId="4" borderId="0" xfId="0" applyNumberFormat="1" applyFont="1" applyFill="1"/>
    <xf numFmtId="2" fontId="7" fillId="4" borderId="0" xfId="0" applyNumberFormat="1" applyFont="1" applyFill="1"/>
    <xf numFmtId="167" fontId="7" fillId="0" borderId="0" xfId="0" applyNumberFormat="1" applyFont="1"/>
    <xf numFmtId="2" fontId="7" fillId="4" borderId="1" xfId="0" applyNumberFormat="1" applyFont="1" applyFill="1" applyBorder="1"/>
    <xf numFmtId="0" fontId="7" fillId="4" borderId="0" xfId="0" applyFont="1" applyFill="1"/>
    <xf numFmtId="166" fontId="7" fillId="4" borderId="0" xfId="0" applyNumberFormat="1" applyFont="1" applyFill="1"/>
    <xf numFmtId="166" fontId="5" fillId="0" borderId="1" xfId="0" applyNumberFormat="1" applyFont="1" applyBorder="1"/>
    <xf numFmtId="0" fontId="7" fillId="0" borderId="1" xfId="0" applyFont="1" applyBorder="1"/>
    <xf numFmtId="169" fontId="3" fillId="2"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165" fontId="7" fillId="0" borderId="1" xfId="0" applyNumberFormat="1" applyFont="1" applyBorder="1"/>
    <xf numFmtId="0" fontId="7" fillId="0" borderId="1" xfId="0" applyFont="1" applyBorder="1" applyAlignment="1">
      <alignment horizontal="center" vertical="center" wrapText="1"/>
    </xf>
    <xf numFmtId="0" fontId="7" fillId="0" borderId="1" xfId="0" applyFont="1" applyBorder="1" applyAlignment="1">
      <alignment vertical="top" wrapText="1"/>
    </xf>
    <xf numFmtId="166" fontId="8" fillId="0" borderId="1" xfId="0" applyNumberFormat="1" applyFont="1" applyBorder="1"/>
    <xf numFmtId="166" fontId="7" fillId="0" borderId="1" xfId="0" applyNumberFormat="1" applyFont="1" applyBorder="1"/>
    <xf numFmtId="0" fontId="4" fillId="0" borderId="1" xfId="0" applyFont="1" applyBorder="1" applyAlignment="1">
      <alignment vertical="top" wrapText="1"/>
    </xf>
    <xf numFmtId="0" fontId="8" fillId="0" borderId="1" xfId="0" applyFont="1" applyBorder="1"/>
    <xf numFmtId="0" fontId="3" fillId="3" borderId="1" xfId="0" applyFont="1" applyFill="1" applyBorder="1"/>
    <xf numFmtId="165" fontId="8" fillId="3" borderId="1" xfId="0" applyNumberFormat="1" applyFont="1" applyFill="1" applyBorder="1"/>
    <xf numFmtId="2" fontId="8" fillId="3" borderId="1" xfId="0" applyNumberFormat="1" applyFont="1" applyFill="1" applyBorder="1"/>
    <xf numFmtId="2" fontId="7" fillId="3" borderId="1" xfId="0" applyNumberFormat="1" applyFont="1" applyFill="1" applyBorder="1"/>
    <xf numFmtId="0" fontId="6" fillId="0" borderId="0" xfId="0" applyFont="1" applyAlignment="1">
      <alignment vertical="top" wrapText="1"/>
    </xf>
    <xf numFmtId="0" fontId="10" fillId="0" borderId="0" xfId="0" applyFont="1"/>
    <xf numFmtId="0" fontId="2" fillId="0" borderId="0" xfId="0" applyFont="1" applyAlignment="1">
      <alignment vertical="top" wrapText="1"/>
    </xf>
    <xf numFmtId="0" fontId="9"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13"/>
  <c:chart>
    <c:title>
      <c:tx>
        <c:rich>
          <a:bodyPr/>
          <a:lstStyle/>
          <a:p>
            <a:pPr>
              <a:defRPr/>
            </a:pPr>
            <a:r>
              <a:t>Cellular concrete k versus oven-dry density</a:t>
            </a:r>
          </a:p>
        </c:rich>
      </c:tx>
      <c:overlay val="1"/>
    </c:title>
    <c:autoTitleDeleted val="0"/>
    <c:plotArea>
      <c:layout/>
      <c:scatterChart>
        <c:scatterStyle val="lineMarker"/>
        <c:varyColors val="1"/>
        <c:ser>
          <c:idx val="0"/>
          <c:order val="0"/>
          <c:tx>
            <c:v>Literature fit (ASHRAE foam concretes), dry</c:v>
          </c:tx>
          <c:spPr>
            <a:ln>
              <a:prstDash val="solid"/>
            </a:ln>
          </c:spPr>
          <c:marker>
            <c:symbol val="circle"/>
            <c:size val="6"/>
            <c:spPr>
              <a:ln>
                <a:prstDash val="solid"/>
              </a:ln>
            </c:spPr>
          </c:marker>
          <c:xVal>
            <c:numRef>
              <c:f>Compare!$A$35:$A$40</c:f>
              <c:numCache>
                <c:formatCode>0</c:formatCode>
                <c:ptCount val="6"/>
                <c:pt idx="0">
                  <c:v>20</c:v>
                </c:pt>
                <c:pt idx="1">
                  <c:v>25</c:v>
                </c:pt>
                <c:pt idx="2">
                  <c:v>30</c:v>
                </c:pt>
                <c:pt idx="3">
                  <c:v>35</c:v>
                </c:pt>
                <c:pt idx="4">
                  <c:v>40</c:v>
                </c:pt>
                <c:pt idx="5">
                  <c:v>50</c:v>
                </c:pt>
              </c:numCache>
            </c:numRef>
          </c:xVal>
          <c:yVal>
            <c:numRef>
              <c:f>Compare!$B$35:$B$40</c:f>
              <c:numCache>
                <c:formatCode>0.000</c:formatCode>
                <c:ptCount val="6"/>
                <c:pt idx="0">
                  <c:v>0.56333333333333302</c:v>
                </c:pt>
                <c:pt idx="1">
                  <c:v>0.73736517101160493</c:v>
                </c:pt>
                <c:pt idx="2">
                  <c:v>0.91877866928903595</c:v>
                </c:pt>
                <c:pt idx="3">
                  <c:v>1.1065700637590952</c:v>
                </c:pt>
                <c:pt idx="4">
                  <c:v>1.3</c:v>
                </c:pt>
                <c:pt idx="5">
                  <c:v>1.7016119331037038</c:v>
                </c:pt>
              </c:numCache>
            </c:numRef>
          </c:yVal>
          <c:smooth val="1"/>
          <c:extLst>
            <c:ext xmlns:c16="http://schemas.microsoft.com/office/drawing/2014/chart" uri="{C3380CC4-5D6E-409C-BE32-E72D297353CC}">
              <c16:uniqueId val="{00000000-574B-4112-8FCD-8F120C71FAAF}"/>
            </c:ext>
          </c:extLst>
        </c:ser>
        <c:ser>
          <c:idx val="1"/>
          <c:order val="1"/>
          <c:tx>
            <c:v>Valore / ACI 122R relation, dry</c:v>
          </c:tx>
          <c:spPr>
            <a:ln>
              <a:prstDash val="solid"/>
            </a:ln>
          </c:spPr>
          <c:marker>
            <c:symbol val="triangle"/>
            <c:size val="6"/>
            <c:spPr>
              <a:ln>
                <a:prstDash val="solid"/>
              </a:ln>
            </c:spPr>
          </c:marker>
          <c:xVal>
            <c:numRef>
              <c:f>Compare!$A$35:$A$40</c:f>
              <c:numCache>
                <c:formatCode>0</c:formatCode>
                <c:ptCount val="6"/>
                <c:pt idx="0">
                  <c:v>20</c:v>
                </c:pt>
                <c:pt idx="1">
                  <c:v>25</c:v>
                </c:pt>
                <c:pt idx="2">
                  <c:v>30</c:v>
                </c:pt>
                <c:pt idx="3">
                  <c:v>35</c:v>
                </c:pt>
                <c:pt idx="4">
                  <c:v>40</c:v>
                </c:pt>
                <c:pt idx="5">
                  <c:v>50</c:v>
                </c:pt>
              </c:numCache>
            </c:numRef>
          </c:xVal>
          <c:yVal>
            <c:numRef>
              <c:f>Compare!$C$35:$C$40</c:f>
              <c:numCache>
                <c:formatCode>0.000</c:formatCode>
                <c:ptCount val="6"/>
                <c:pt idx="0">
                  <c:v>0.74591234882063517</c:v>
                </c:pt>
                <c:pt idx="1">
                  <c:v>0.8243606353500641</c:v>
                </c:pt>
                <c:pt idx="2">
                  <c:v>0.91105940019525444</c:v>
                </c:pt>
                <c:pt idx="3">
                  <c:v>1.0068763537352383</c:v>
                </c:pt>
                <c:pt idx="4">
                  <c:v>1.1127704642462339</c:v>
                </c:pt>
                <c:pt idx="5">
                  <c:v>1.3591409142295225</c:v>
                </c:pt>
              </c:numCache>
            </c:numRef>
          </c:yVal>
          <c:smooth val="1"/>
          <c:extLst>
            <c:ext xmlns:c16="http://schemas.microsoft.com/office/drawing/2014/chart" uri="{C3380CC4-5D6E-409C-BE32-E72D297353CC}">
              <c16:uniqueId val="{00000001-574B-4112-8FCD-8F120C71FAAF}"/>
            </c:ext>
          </c:extLst>
        </c:ser>
        <c:ser>
          <c:idx val="2"/>
          <c:order val="2"/>
          <c:tx>
            <c:v>Ken's measured R-2.1/in (assumed density)</c:v>
          </c:tx>
          <c:spPr>
            <a:ln>
              <a:noFill/>
              <a:prstDash val="solid"/>
            </a:ln>
          </c:spPr>
          <c:marker>
            <c:symbol val="diamond"/>
            <c:size val="11"/>
            <c:spPr>
              <a:ln>
                <a:prstDash val="solid"/>
              </a:ln>
            </c:spPr>
          </c:marker>
          <c:xVal>
            <c:numRef>
              <c:f>Compare!$A$41</c:f>
              <c:numCache>
                <c:formatCode>0</c:formatCode>
                <c:ptCount val="1"/>
                <c:pt idx="0">
                  <c:v>30</c:v>
                </c:pt>
              </c:numCache>
            </c:numRef>
          </c:xVal>
          <c:yVal>
            <c:numRef>
              <c:f>Compare!$D$41</c:f>
              <c:numCache>
                <c:formatCode>0.000</c:formatCode>
                <c:ptCount val="1"/>
                <c:pt idx="0">
                  <c:v>0.47619047619047616</c:v>
                </c:pt>
              </c:numCache>
            </c:numRef>
          </c:yVal>
          <c:smooth val="1"/>
          <c:extLst>
            <c:ext xmlns:c16="http://schemas.microsoft.com/office/drawing/2014/chart" uri="{C3380CC4-5D6E-409C-BE32-E72D297353CC}">
              <c16:uniqueId val="{00000002-574B-4112-8FCD-8F120C71FAAF}"/>
            </c:ext>
          </c:extLst>
        </c:ser>
        <c:dLbls>
          <c:showLegendKey val="0"/>
          <c:showVal val="0"/>
          <c:showCatName val="0"/>
          <c:showSerName val="0"/>
          <c:showPercent val="0"/>
          <c:showBubbleSize val="0"/>
        </c:dLbls>
        <c:axId val="10"/>
        <c:axId val="20"/>
      </c:scatterChart>
      <c:valAx>
        <c:axId val="10"/>
        <c:scaling>
          <c:orientation val="minMax"/>
          <c:max val="55"/>
          <c:min val="10"/>
        </c:scaling>
        <c:delete val="0"/>
        <c:axPos val="b"/>
        <c:majorGridlines/>
        <c:title>
          <c:tx>
            <c:rich>
              <a:bodyPr/>
              <a:lstStyle/>
              <a:p>
                <a:pPr>
                  <a:defRPr/>
                </a:pPr>
                <a:r>
                  <a:t>Density, pcf</a:t>
                </a:r>
              </a:p>
            </c:rich>
          </c:tx>
          <c:overlay val="1"/>
        </c:title>
        <c:numFmt formatCode="0" sourceLinked="1"/>
        <c:majorTickMark val="none"/>
        <c:minorTickMark val="none"/>
        <c:tickLblPos val="nextTo"/>
        <c:crossAx val="20"/>
        <c:crosses val="autoZero"/>
        <c:crossBetween val="midCat"/>
      </c:valAx>
      <c:valAx>
        <c:axId val="20"/>
        <c:scaling>
          <c:orientation val="minMax"/>
          <c:min val="0"/>
        </c:scaling>
        <c:delete val="0"/>
        <c:axPos val="l"/>
        <c:majorGridlines/>
        <c:title>
          <c:tx>
            <c:rich>
              <a:bodyPr/>
              <a:lstStyle/>
              <a:p>
                <a:pPr>
                  <a:defRPr/>
                </a:pPr>
                <a:r>
                  <a:t>k, Btu·in/(h·ft²·°F)</a:t>
                </a:r>
              </a:p>
            </c:rich>
          </c:tx>
          <c:overlay val="1"/>
        </c:title>
        <c:numFmt formatCode="0.000" sourceLinked="1"/>
        <c:majorTickMark val="none"/>
        <c:minorTickMark val="none"/>
        <c:tickLblPos val="nextTo"/>
        <c:crossAx val="10"/>
        <c:crosses val="autoZero"/>
        <c:crossBetween val="midCat"/>
      </c:valAx>
    </c:plotArea>
    <c:legend>
      <c:legendPos val="r"/>
      <c:overlay val="1"/>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6</xdr:col>
      <xdr:colOff>0</xdr:colOff>
      <xdr:row>32</xdr:row>
      <xdr:rowOff>0</xdr:rowOff>
    </xdr:from>
    <xdr:ext cx="6480000" cy="3240000"/>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6"/>
  <sheetViews>
    <sheetView showGridLines="0" tabSelected="1" workbookViewId="0">
      <pane ySplit="3" topLeftCell="A4" activePane="bottomLeft" state="frozen"/>
      <selection pane="bottomLeft"/>
    </sheetView>
  </sheetViews>
  <sheetFormatPr defaultRowHeight="14.4" x14ac:dyDescent="0.3"/>
  <cols>
    <col min="1" max="1" width="58" customWidth="1"/>
    <col min="2" max="2" width="14" customWidth="1"/>
    <col min="3" max="3" width="20" customWidth="1"/>
    <col min="4" max="4" width="90" customWidth="1"/>
  </cols>
  <sheetData>
    <row r="1" spans="1:8" ht="17.399999999999999" x14ac:dyDescent="0.3">
      <c r="A1" s="1" t="s">
        <v>0</v>
      </c>
      <c r="B1" s="2"/>
      <c r="C1" s="2"/>
      <c r="D1" s="2"/>
      <c r="E1" s="2"/>
      <c r="F1" s="2"/>
      <c r="G1" s="2"/>
      <c r="H1" s="2"/>
    </row>
    <row r="2" spans="1:8" ht="43.95" customHeight="1" x14ac:dyDescent="0.3">
      <c r="A2" s="74" t="s">
        <v>1</v>
      </c>
      <c r="B2" s="73"/>
      <c r="C2" s="73"/>
      <c r="D2" s="73"/>
      <c r="E2" s="73"/>
      <c r="F2" s="73"/>
      <c r="G2" s="73"/>
      <c r="H2" s="73"/>
    </row>
    <row r="3" spans="1:8" x14ac:dyDescent="0.3">
      <c r="A3" s="2"/>
      <c r="B3" s="2"/>
      <c r="C3" s="2"/>
      <c r="D3" s="2"/>
      <c r="E3" s="2"/>
      <c r="F3" s="2"/>
      <c r="G3" s="2"/>
      <c r="H3" s="2"/>
    </row>
    <row r="4" spans="1:8" x14ac:dyDescent="0.3">
      <c r="A4" s="3" t="s">
        <v>2</v>
      </c>
      <c r="B4" s="4"/>
      <c r="C4" s="4"/>
      <c r="D4" s="4"/>
      <c r="E4" s="4"/>
      <c r="F4" s="4"/>
      <c r="G4" s="4"/>
      <c r="H4" s="4"/>
    </row>
    <row r="5" spans="1:8" ht="22.8" x14ac:dyDescent="0.3">
      <c r="A5" s="5" t="s">
        <v>3</v>
      </c>
      <c r="B5" s="6">
        <v>6</v>
      </c>
      <c r="C5" s="7" t="s">
        <v>4</v>
      </c>
      <c r="D5" s="8" t="s">
        <v>5</v>
      </c>
      <c r="E5" s="2"/>
      <c r="F5" s="2"/>
      <c r="G5" s="2"/>
      <c r="H5" s="2"/>
    </row>
    <row r="6" spans="1:8" ht="45.6" x14ac:dyDescent="0.3">
      <c r="A6" s="5" t="s">
        <v>6</v>
      </c>
      <c r="B6" s="6">
        <v>3</v>
      </c>
      <c r="C6" s="7" t="s">
        <v>7</v>
      </c>
      <c r="D6" s="8" t="s">
        <v>8</v>
      </c>
      <c r="E6" s="2"/>
      <c r="F6" s="2"/>
      <c r="G6" s="2"/>
      <c r="H6" s="2"/>
    </row>
    <row r="7" spans="1:8" ht="22.8" x14ac:dyDescent="0.3">
      <c r="A7" s="5" t="s">
        <v>9</v>
      </c>
      <c r="B7" s="6">
        <v>0</v>
      </c>
      <c r="C7" s="7" t="s">
        <v>10</v>
      </c>
      <c r="D7" s="8" t="s">
        <v>11</v>
      </c>
      <c r="E7" s="2"/>
      <c r="F7" s="2"/>
      <c r="G7" s="2"/>
      <c r="H7" s="2"/>
    </row>
    <row r="8" spans="1:8" x14ac:dyDescent="0.3">
      <c r="A8" s="2"/>
      <c r="B8" s="2"/>
      <c r="C8" s="2"/>
      <c r="D8" s="2"/>
      <c r="E8" s="2"/>
      <c r="F8" s="2"/>
      <c r="G8" s="2"/>
      <c r="H8" s="2"/>
    </row>
    <row r="9" spans="1:8" x14ac:dyDescent="0.3">
      <c r="A9" s="3" t="s">
        <v>12</v>
      </c>
      <c r="B9" s="4"/>
      <c r="C9" s="4"/>
      <c r="D9" s="4"/>
      <c r="E9" s="4"/>
      <c r="F9" s="4"/>
      <c r="G9" s="4"/>
      <c r="H9" s="4"/>
    </row>
    <row r="10" spans="1:8" x14ac:dyDescent="0.3">
      <c r="A10" s="5" t="s">
        <v>13</v>
      </c>
      <c r="B10" s="9">
        <v>35</v>
      </c>
      <c r="C10" s="7" t="s">
        <v>14</v>
      </c>
      <c r="D10" s="8" t="s">
        <v>15</v>
      </c>
      <c r="E10" s="2"/>
      <c r="F10" s="2"/>
      <c r="G10" s="2"/>
      <c r="H10" s="2"/>
    </row>
    <row r="11" spans="1:8" x14ac:dyDescent="0.3">
      <c r="A11" s="5" t="s">
        <v>16</v>
      </c>
      <c r="B11" s="9">
        <v>30</v>
      </c>
      <c r="C11" s="7" t="s">
        <v>14</v>
      </c>
      <c r="D11" s="8" t="s">
        <v>17</v>
      </c>
      <c r="E11" s="2"/>
      <c r="F11" s="2"/>
      <c r="G11" s="2"/>
      <c r="H11" s="2"/>
    </row>
    <row r="12" spans="1:8" ht="34.200000000000003" x14ac:dyDescent="0.3">
      <c r="A12" s="5" t="s">
        <v>18</v>
      </c>
      <c r="B12" s="10">
        <v>0.2</v>
      </c>
      <c r="C12" s="7" t="s">
        <v>19</v>
      </c>
      <c r="D12" s="8" t="s">
        <v>20</v>
      </c>
      <c r="E12" s="2"/>
      <c r="F12" s="2"/>
      <c r="G12" s="2"/>
      <c r="H12" s="2"/>
    </row>
    <row r="13" spans="1:8" x14ac:dyDescent="0.3">
      <c r="A13" s="5" t="s">
        <v>21</v>
      </c>
      <c r="B13" s="11"/>
      <c r="C13" s="7" t="s">
        <v>22</v>
      </c>
      <c r="D13" s="8" t="s">
        <v>23</v>
      </c>
      <c r="E13" s="2"/>
      <c r="F13" s="2"/>
      <c r="G13" s="2"/>
      <c r="H13" s="2"/>
    </row>
    <row r="14" spans="1:8" x14ac:dyDescent="0.3">
      <c r="A14" s="5" t="s">
        <v>24</v>
      </c>
      <c r="B14" s="11"/>
      <c r="C14" s="7" t="s">
        <v>22</v>
      </c>
      <c r="D14" s="8" t="s">
        <v>25</v>
      </c>
      <c r="E14" s="2"/>
      <c r="F14" s="2"/>
      <c r="G14" s="2"/>
      <c r="H14" s="2"/>
    </row>
    <row r="15" spans="1:8" x14ac:dyDescent="0.3">
      <c r="A15" s="2"/>
      <c r="B15" s="2"/>
      <c r="C15" s="2"/>
      <c r="D15" s="2"/>
      <c r="E15" s="2"/>
      <c r="F15" s="2"/>
      <c r="G15" s="2"/>
      <c r="H15" s="2"/>
    </row>
    <row r="16" spans="1:8" x14ac:dyDescent="0.3">
      <c r="A16" s="3" t="s">
        <v>26</v>
      </c>
      <c r="B16" s="4"/>
      <c r="C16" s="4"/>
      <c r="D16" s="4"/>
      <c r="E16" s="4"/>
      <c r="F16" s="4"/>
      <c r="G16" s="4"/>
      <c r="H16" s="4"/>
    </row>
    <row r="17" spans="1:8" ht="22.8" x14ac:dyDescent="0.3">
      <c r="A17" s="5" t="s">
        <v>27</v>
      </c>
      <c r="B17" s="12">
        <v>2.1</v>
      </c>
      <c r="C17" s="7" t="s">
        <v>28</v>
      </c>
      <c r="D17" s="8" t="s">
        <v>29</v>
      </c>
      <c r="E17" s="2"/>
      <c r="F17" s="2"/>
      <c r="G17" s="2"/>
      <c r="H17" s="2"/>
    </row>
    <row r="18" spans="1:8" x14ac:dyDescent="0.3">
      <c r="A18" s="13" t="s">
        <v>30</v>
      </c>
      <c r="B18" s="14">
        <f>1/$B$17</f>
        <v>0.47619047619047616</v>
      </c>
      <c r="C18" s="7" t="s">
        <v>22</v>
      </c>
      <c r="D18" s="8" t="s">
        <v>31</v>
      </c>
      <c r="E18" s="2"/>
      <c r="F18" s="2"/>
      <c r="G18" s="2"/>
      <c r="H18" s="2"/>
    </row>
    <row r="19" spans="1:8" x14ac:dyDescent="0.3">
      <c r="A19" s="5" t="s">
        <v>32</v>
      </c>
      <c r="B19" s="15">
        <f>$B$18/6.933</f>
        <v>6.8684620826550719E-2</v>
      </c>
      <c r="C19" s="7" t="s">
        <v>33</v>
      </c>
      <c r="D19" s="8"/>
      <c r="E19" s="2"/>
      <c r="F19" s="2"/>
      <c r="G19" s="2"/>
      <c r="H19" s="2"/>
    </row>
    <row r="20" spans="1:8" ht="34.200000000000003" x14ac:dyDescent="0.3">
      <c r="A20" s="5" t="s">
        <v>34</v>
      </c>
      <c r="B20" s="16" t="s">
        <v>35</v>
      </c>
      <c r="C20" s="7" t="s">
        <v>14</v>
      </c>
      <c r="D20" s="8" t="s">
        <v>36</v>
      </c>
      <c r="E20" s="2"/>
      <c r="F20" s="2"/>
      <c r="G20" s="2"/>
      <c r="H20" s="2"/>
    </row>
    <row r="21" spans="1:8" ht="22.8" x14ac:dyDescent="0.3">
      <c r="A21" s="5" t="s">
        <v>37</v>
      </c>
      <c r="B21" s="6">
        <v>1</v>
      </c>
      <c r="C21" s="7" t="s">
        <v>7</v>
      </c>
      <c r="D21" s="8" t="s">
        <v>38</v>
      </c>
      <c r="E21" s="2"/>
      <c r="F21" s="2"/>
      <c r="G21" s="2"/>
      <c r="H21" s="2"/>
    </row>
    <row r="22" spans="1:8" ht="22.8" x14ac:dyDescent="0.3">
      <c r="A22" s="5" t="s">
        <v>39</v>
      </c>
      <c r="B22" s="6">
        <v>1</v>
      </c>
      <c r="C22" s="7" t="s">
        <v>7</v>
      </c>
      <c r="D22" s="8" t="s">
        <v>40</v>
      </c>
      <c r="E22" s="2"/>
      <c r="F22" s="2"/>
      <c r="G22" s="2"/>
      <c r="H22" s="2"/>
    </row>
    <row r="23" spans="1:8" x14ac:dyDescent="0.3">
      <c r="A23" s="2"/>
      <c r="B23" s="2"/>
      <c r="C23" s="2"/>
      <c r="D23" s="2"/>
      <c r="E23" s="2"/>
      <c r="F23" s="2"/>
      <c r="G23" s="2"/>
      <c r="H23" s="2"/>
    </row>
    <row r="24" spans="1:8" x14ac:dyDescent="0.3">
      <c r="A24" s="3" t="s">
        <v>41</v>
      </c>
      <c r="B24" s="4"/>
      <c r="C24" s="4"/>
      <c r="D24" s="4"/>
      <c r="E24" s="4"/>
      <c r="F24" s="4"/>
      <c r="G24" s="4"/>
      <c r="H24" s="4"/>
    </row>
    <row r="25" spans="1:8" x14ac:dyDescent="0.3">
      <c r="A25" s="5" t="s">
        <v>42</v>
      </c>
      <c r="B25" s="15">
        <f>IF(ISNUMBER($B$13),$B$13,'k-values'!$B$10*$B$10^'k-values'!$B$9)</f>
        <v>1.1065700637590952</v>
      </c>
      <c r="C25" s="7" t="s">
        <v>22</v>
      </c>
      <c r="D25" s="8" t="s">
        <v>43</v>
      </c>
      <c r="E25" s="2"/>
      <c r="F25" s="2"/>
      <c r="G25" s="2"/>
      <c r="H25" s="2"/>
    </row>
    <row r="26" spans="1:8" x14ac:dyDescent="0.3">
      <c r="A26" s="5" t="s">
        <v>44</v>
      </c>
      <c r="B26" s="15">
        <f>IF(ISNUMBER($B$14),$B$14,'k-values'!$B$10*$B$11^'k-values'!$B$9)</f>
        <v>0.91877866928903595</v>
      </c>
      <c r="C26" s="7" t="s">
        <v>22</v>
      </c>
      <c r="D26" s="8" t="s">
        <v>45</v>
      </c>
      <c r="E26" s="2"/>
      <c r="F26" s="2"/>
      <c r="G26" s="2"/>
      <c r="H26" s="2"/>
    </row>
    <row r="27" spans="1:8" x14ac:dyDescent="0.3">
      <c r="A27" s="5" t="s">
        <v>46</v>
      </c>
      <c r="B27" s="15">
        <f>$B$25*(1+$B$12)</f>
        <v>1.3278840765109141</v>
      </c>
      <c r="C27" s="7" t="s">
        <v>22</v>
      </c>
      <c r="D27" s="8" t="s">
        <v>47</v>
      </c>
      <c r="E27" s="2"/>
      <c r="F27" s="2"/>
      <c r="G27" s="2"/>
      <c r="H27" s="2"/>
    </row>
    <row r="28" spans="1:8" x14ac:dyDescent="0.3">
      <c r="A28" s="5" t="s">
        <v>48</v>
      </c>
      <c r="B28" s="15">
        <f>$B$26*(1+$B$12)</f>
        <v>1.1025344031468431</v>
      </c>
      <c r="C28" s="7" t="s">
        <v>22</v>
      </c>
      <c r="D28" s="8" t="s">
        <v>45</v>
      </c>
      <c r="E28" s="2"/>
      <c r="F28" s="2"/>
      <c r="G28" s="2"/>
      <c r="H28" s="2"/>
    </row>
    <row r="29" spans="1:8" x14ac:dyDescent="0.3">
      <c r="A29" s="13" t="s">
        <v>49</v>
      </c>
      <c r="B29" s="17">
        <f>IF(AND($B$21=1,$B$22=1),$B$18,$B$27)</f>
        <v>0.47619047619047616</v>
      </c>
      <c r="C29" s="7" t="s">
        <v>22</v>
      </c>
      <c r="D29" s="8" t="s">
        <v>50</v>
      </c>
      <c r="E29" s="2"/>
      <c r="F29" s="2"/>
      <c r="G29" s="2"/>
      <c r="H29" s="2"/>
    </row>
    <row r="30" spans="1:8" x14ac:dyDescent="0.3">
      <c r="A30" s="13" t="s">
        <v>51</v>
      </c>
      <c r="B30" s="17">
        <f>IF($B$21=1,$B$18,$B$28)</f>
        <v>0.47619047619047616</v>
      </c>
      <c r="C30" s="7" t="s">
        <v>22</v>
      </c>
      <c r="D30" s="8" t="s">
        <v>52</v>
      </c>
      <c r="E30" s="2"/>
      <c r="F30" s="2"/>
      <c r="G30" s="2"/>
      <c r="H30" s="2"/>
    </row>
    <row r="31" spans="1:8" x14ac:dyDescent="0.3">
      <c r="A31" s="13" t="s">
        <v>53</v>
      </c>
      <c r="B31" s="18" t="str">
        <f>IF($B$21=1,IF($B$22=1,"MEASURED R-"&amp;TEXT($B$17,"0.0")&amp;"/in on all cellular concrete","MEASURED on the fill only; literature on the skin, cladding, roof and floor"),"LITERATURE fit + "&amp;TEXT($B$12,"0%")&amp;" moisture allowance")</f>
        <v>MEASURED R-2.1/in on all cellular concrete</v>
      </c>
      <c r="C31" s="7"/>
      <c r="D31" s="8" t="s">
        <v>54</v>
      </c>
      <c r="E31" s="2"/>
      <c r="F31" s="2"/>
      <c r="G31" s="2"/>
      <c r="H31" s="2"/>
    </row>
    <row r="32" spans="1:8" x14ac:dyDescent="0.3">
      <c r="A32" s="5" t="s">
        <v>55</v>
      </c>
      <c r="B32" s="15">
        <f>1/$B$29</f>
        <v>2.1</v>
      </c>
      <c r="C32" s="7" t="s">
        <v>28</v>
      </c>
      <c r="D32" s="8"/>
      <c r="E32" s="2"/>
      <c r="F32" s="2"/>
      <c r="G32" s="2"/>
      <c r="H32" s="2"/>
    </row>
    <row r="33" spans="1:8" x14ac:dyDescent="0.3">
      <c r="A33" s="5" t="s">
        <v>56</v>
      </c>
      <c r="B33" s="15">
        <f>1/$B$30</f>
        <v>2.1</v>
      </c>
      <c r="C33" s="7" t="s">
        <v>28</v>
      </c>
      <c r="D33" s="8"/>
      <c r="E33" s="2"/>
      <c r="F33" s="2"/>
      <c r="G33" s="2"/>
      <c r="H33" s="2"/>
    </row>
    <row r="34" spans="1:8" x14ac:dyDescent="0.3">
      <c r="A34" s="5" t="s">
        <v>57</v>
      </c>
      <c r="B34" s="15">
        <f>$B$29/6.933</f>
        <v>6.8684620826550719E-2</v>
      </c>
      <c r="C34" s="7" t="s">
        <v>33</v>
      </c>
      <c r="D34" s="8" t="s">
        <v>58</v>
      </c>
      <c r="E34" s="2"/>
      <c r="F34" s="2"/>
      <c r="G34" s="2"/>
      <c r="H34" s="2"/>
    </row>
    <row r="35" spans="1:8" x14ac:dyDescent="0.3">
      <c r="A35" s="5" t="s">
        <v>59</v>
      </c>
      <c r="B35" s="15">
        <f>$B$30/6.933</f>
        <v>6.8684620826550719E-2</v>
      </c>
      <c r="C35" s="7" t="s">
        <v>33</v>
      </c>
      <c r="D35" s="8"/>
      <c r="E35" s="2"/>
      <c r="F35" s="2"/>
      <c r="G35" s="2"/>
      <c r="H35" s="2"/>
    </row>
    <row r="36" spans="1:8" x14ac:dyDescent="0.3">
      <c r="A36" s="2"/>
      <c r="B36" s="2"/>
      <c r="C36" s="2"/>
      <c r="D36" s="2"/>
      <c r="E36" s="2"/>
      <c r="F36" s="2"/>
      <c r="G36" s="2"/>
      <c r="H36" s="2"/>
    </row>
    <row r="37" spans="1:8" x14ac:dyDescent="0.3">
      <c r="A37" s="3" t="s">
        <v>60</v>
      </c>
      <c r="B37" s="4"/>
      <c r="C37" s="4"/>
      <c r="D37" s="4"/>
      <c r="E37" s="4"/>
      <c r="F37" s="4"/>
      <c r="G37" s="4"/>
      <c r="H37" s="4"/>
    </row>
    <row r="38" spans="1:8" x14ac:dyDescent="0.3">
      <c r="A38" s="5" t="s">
        <v>61</v>
      </c>
      <c r="B38" s="19">
        <v>2</v>
      </c>
      <c r="C38" s="7" t="s">
        <v>62</v>
      </c>
      <c r="D38" s="8" t="s">
        <v>63</v>
      </c>
      <c r="E38" s="2"/>
      <c r="F38" s="2"/>
      <c r="G38" s="2"/>
      <c r="H38" s="2"/>
    </row>
    <row r="39" spans="1:8" x14ac:dyDescent="0.3">
      <c r="A39" s="5" t="s">
        <v>64</v>
      </c>
      <c r="B39" s="19">
        <v>1.5</v>
      </c>
      <c r="C39" s="7" t="s">
        <v>62</v>
      </c>
      <c r="D39" s="8" t="s">
        <v>65</v>
      </c>
      <c r="E39" s="2"/>
      <c r="F39" s="2"/>
      <c r="G39" s="2"/>
      <c r="H39" s="2"/>
    </row>
    <row r="40" spans="1:8" x14ac:dyDescent="0.3">
      <c r="A40" s="5" t="s">
        <v>66</v>
      </c>
      <c r="B40" s="19">
        <v>6</v>
      </c>
      <c r="C40" s="7" t="s">
        <v>62</v>
      </c>
      <c r="D40" s="8" t="s">
        <v>67</v>
      </c>
      <c r="E40" s="2"/>
      <c r="F40" s="2"/>
      <c r="G40" s="2"/>
      <c r="H40" s="2"/>
    </row>
    <row r="41" spans="1:8" x14ac:dyDescent="0.3">
      <c r="A41" s="5" t="s">
        <v>68</v>
      </c>
      <c r="B41" s="19">
        <v>5</v>
      </c>
      <c r="C41" s="7" t="s">
        <v>62</v>
      </c>
      <c r="D41" s="8" t="s">
        <v>69</v>
      </c>
      <c r="E41" s="2"/>
      <c r="F41" s="2"/>
      <c r="G41" s="2"/>
      <c r="H41" s="2"/>
    </row>
    <row r="42" spans="1:8" x14ac:dyDescent="0.3">
      <c r="A42" s="5" t="s">
        <v>70</v>
      </c>
      <c r="B42" s="19">
        <v>2</v>
      </c>
      <c r="C42" s="7" t="s">
        <v>62</v>
      </c>
      <c r="D42" s="8" t="s">
        <v>71</v>
      </c>
      <c r="E42" s="2"/>
      <c r="F42" s="2"/>
      <c r="G42" s="2"/>
      <c r="H42" s="2"/>
    </row>
    <row r="43" spans="1:8" x14ac:dyDescent="0.3">
      <c r="A43" s="5" t="s">
        <v>72</v>
      </c>
      <c r="B43" s="20">
        <f>$B$41-$B$38-$B$39</f>
        <v>1.5</v>
      </c>
      <c r="C43" s="7" t="s">
        <v>62</v>
      </c>
      <c r="D43" s="8" t="s">
        <v>73</v>
      </c>
      <c r="E43" s="2"/>
      <c r="F43" s="2"/>
      <c r="G43" s="2"/>
      <c r="H43" s="2"/>
    </row>
    <row r="44" spans="1:8" x14ac:dyDescent="0.3">
      <c r="A44" s="5" t="s">
        <v>74</v>
      </c>
      <c r="B44" s="20">
        <f>$B$40-$B$43</f>
        <v>4.5</v>
      </c>
      <c r="C44" s="7" t="s">
        <v>62</v>
      </c>
      <c r="D44" s="8" t="s">
        <v>75</v>
      </c>
      <c r="E44" s="2"/>
      <c r="F44" s="2"/>
      <c r="G44" s="2"/>
      <c r="H44" s="2"/>
    </row>
    <row r="45" spans="1:8" x14ac:dyDescent="0.3">
      <c r="A45" s="13" t="s">
        <v>76</v>
      </c>
      <c r="B45" s="21">
        <f>$B$38+$B$39+$B$40+$B$42</f>
        <v>11.5</v>
      </c>
      <c r="C45" s="7" t="s">
        <v>62</v>
      </c>
      <c r="D45" s="8" t="s">
        <v>77</v>
      </c>
      <c r="E45" s="2"/>
      <c r="F45" s="2"/>
      <c r="G45" s="2"/>
      <c r="H45" s="2"/>
    </row>
    <row r="46" spans="1:8" x14ac:dyDescent="0.3">
      <c r="A46" s="5" t="s">
        <v>78</v>
      </c>
      <c r="B46" s="22">
        <f>($B$38+$B$39+$B$43+$B$42)/12*$B$10+$B$44/12*$B$11</f>
        <v>31.666666666666668</v>
      </c>
      <c r="C46" s="7" t="s">
        <v>79</v>
      </c>
      <c r="D46" s="8" t="s">
        <v>80</v>
      </c>
      <c r="E46" s="2"/>
      <c r="F46" s="2"/>
      <c r="G46" s="2"/>
      <c r="H46" s="2"/>
    </row>
    <row r="47" spans="1:8" x14ac:dyDescent="0.3">
      <c r="A47" s="2"/>
      <c r="B47" s="2"/>
      <c r="C47" s="2"/>
      <c r="D47" s="2"/>
      <c r="E47" s="2"/>
      <c r="F47" s="2"/>
      <c r="G47" s="2"/>
      <c r="H47" s="2"/>
    </row>
    <row r="48" spans="1:8" x14ac:dyDescent="0.3">
      <c r="A48" s="3" t="s">
        <v>81</v>
      </c>
      <c r="B48" s="4"/>
      <c r="C48" s="4"/>
      <c r="D48" s="4"/>
      <c r="E48" s="4"/>
      <c r="F48" s="4"/>
      <c r="G48" s="4"/>
      <c r="H48" s="4"/>
    </row>
    <row r="49" spans="1:8" x14ac:dyDescent="0.3">
      <c r="A49" s="5" t="s">
        <v>82</v>
      </c>
      <c r="B49" s="23" t="s">
        <v>83</v>
      </c>
      <c r="C49" s="7"/>
      <c r="D49" s="8" t="s">
        <v>84</v>
      </c>
      <c r="E49" s="2"/>
      <c r="F49" s="2"/>
      <c r="G49" s="2"/>
      <c r="H49" s="2"/>
    </row>
    <row r="50" spans="1:8" x14ac:dyDescent="0.3">
      <c r="A50" s="5" t="s">
        <v>85</v>
      </c>
      <c r="B50" s="24">
        <v>1.625</v>
      </c>
      <c r="C50" s="7" t="s">
        <v>62</v>
      </c>
      <c r="D50" s="8" t="s">
        <v>86</v>
      </c>
      <c r="E50" s="2"/>
      <c r="F50" s="2"/>
      <c r="G50" s="2"/>
      <c r="H50" s="2"/>
    </row>
    <row r="51" spans="1:8" x14ac:dyDescent="0.3">
      <c r="A51" s="5" t="s">
        <v>87</v>
      </c>
      <c r="B51" s="25">
        <v>5.3800000000000001E-2</v>
      </c>
      <c r="C51" s="7" t="s">
        <v>62</v>
      </c>
      <c r="D51" s="8" t="s">
        <v>88</v>
      </c>
      <c r="E51" s="2"/>
      <c r="F51" s="2"/>
      <c r="G51" s="2"/>
      <c r="H51" s="2"/>
    </row>
    <row r="52" spans="1:8" x14ac:dyDescent="0.3">
      <c r="A52" s="5" t="s">
        <v>89</v>
      </c>
      <c r="B52" s="9">
        <v>16</v>
      </c>
      <c r="C52" s="7" t="s">
        <v>90</v>
      </c>
      <c r="D52" s="8" t="s">
        <v>91</v>
      </c>
      <c r="E52" s="2"/>
      <c r="F52" s="2"/>
      <c r="G52" s="2"/>
      <c r="H52" s="2"/>
    </row>
    <row r="53" spans="1:8" x14ac:dyDescent="0.3">
      <c r="A53" s="5" t="s">
        <v>92</v>
      </c>
      <c r="B53" s="9">
        <v>48</v>
      </c>
      <c r="C53" s="7" t="s">
        <v>62</v>
      </c>
      <c r="D53" s="8" t="s">
        <v>93</v>
      </c>
      <c r="E53" s="2"/>
      <c r="F53" s="2"/>
      <c r="G53" s="2"/>
      <c r="H53" s="2"/>
    </row>
    <row r="54" spans="1:8" x14ac:dyDescent="0.3">
      <c r="A54" s="5" t="s">
        <v>94</v>
      </c>
      <c r="B54" s="9">
        <v>120</v>
      </c>
      <c r="C54" s="7" t="s">
        <v>62</v>
      </c>
      <c r="D54" s="8" t="s">
        <v>95</v>
      </c>
      <c r="E54" s="2"/>
      <c r="F54" s="2"/>
      <c r="G54" s="2"/>
      <c r="H54" s="2"/>
    </row>
    <row r="55" spans="1:8" x14ac:dyDescent="0.3">
      <c r="A55" s="5" t="s">
        <v>96</v>
      </c>
      <c r="B55" s="9">
        <v>2</v>
      </c>
      <c r="C55" s="7" t="s">
        <v>97</v>
      </c>
      <c r="D55" s="8" t="s">
        <v>98</v>
      </c>
      <c r="E55" s="2"/>
      <c r="F55" s="2"/>
      <c r="G55" s="2"/>
      <c r="H55" s="2"/>
    </row>
    <row r="56" spans="1:8" x14ac:dyDescent="0.3">
      <c r="A56" s="5" t="s">
        <v>99</v>
      </c>
      <c r="B56" s="24">
        <v>1.25</v>
      </c>
      <c r="C56" s="7" t="s">
        <v>62</v>
      </c>
      <c r="D56" s="8" t="s">
        <v>100</v>
      </c>
      <c r="E56" s="2"/>
      <c r="F56" s="2"/>
      <c r="G56" s="2"/>
      <c r="H56" s="2"/>
    </row>
    <row r="57" spans="1:8" x14ac:dyDescent="0.3">
      <c r="A57" s="5" t="s">
        <v>101</v>
      </c>
      <c r="B57" s="9">
        <v>2</v>
      </c>
      <c r="C57" s="7" t="s">
        <v>97</v>
      </c>
      <c r="D57" s="8" t="s">
        <v>102</v>
      </c>
      <c r="E57" s="2"/>
      <c r="F57" s="2"/>
      <c r="G57" s="2"/>
      <c r="H57" s="2"/>
    </row>
    <row r="58" spans="1:8" x14ac:dyDescent="0.3">
      <c r="A58" s="5" t="s">
        <v>103</v>
      </c>
      <c r="B58" s="9">
        <v>3</v>
      </c>
      <c r="C58" s="7" t="s">
        <v>97</v>
      </c>
      <c r="D58" s="8" t="s">
        <v>104</v>
      </c>
      <c r="E58" s="2"/>
      <c r="F58" s="2"/>
      <c r="G58" s="2"/>
      <c r="H58" s="2"/>
    </row>
    <row r="59" spans="1:8" x14ac:dyDescent="0.3">
      <c r="A59" s="5" t="s">
        <v>105</v>
      </c>
      <c r="B59" s="25">
        <v>5.3800000000000001E-2</v>
      </c>
      <c r="C59" s="7" t="s">
        <v>62</v>
      </c>
      <c r="D59" s="8" t="s">
        <v>106</v>
      </c>
      <c r="E59" s="2"/>
      <c r="F59" s="2"/>
      <c r="G59" s="2"/>
      <c r="H59" s="2"/>
    </row>
    <row r="60" spans="1:8" x14ac:dyDescent="0.3">
      <c r="A60" s="5" t="s">
        <v>107</v>
      </c>
      <c r="B60" s="26">
        <f>$B$53/$B$52-1+$B$55</f>
        <v>4</v>
      </c>
      <c r="C60" s="7" t="s">
        <v>97</v>
      </c>
      <c r="D60" s="8" t="s">
        <v>108</v>
      </c>
      <c r="E60" s="2"/>
      <c r="F60" s="2"/>
      <c r="G60" s="2"/>
      <c r="H60" s="2"/>
    </row>
    <row r="61" spans="1:8" x14ac:dyDescent="0.3">
      <c r="A61" s="5" t="s">
        <v>109</v>
      </c>
      <c r="B61" s="27">
        <f>$B$60*$B$50/$B$53</f>
        <v>0.13541666666666666</v>
      </c>
      <c r="C61" s="7" t="s">
        <v>19</v>
      </c>
      <c r="D61" s="8" t="s">
        <v>110</v>
      </c>
      <c r="E61" s="2"/>
      <c r="F61" s="2"/>
      <c r="G61" s="2"/>
      <c r="H61" s="2"/>
    </row>
    <row r="62" spans="1:8" x14ac:dyDescent="0.3">
      <c r="A62" s="5" t="s">
        <v>111</v>
      </c>
      <c r="B62" s="27">
        <f>$B$57*$B$56/$B$54</f>
        <v>2.0833333333333332E-2</v>
      </c>
      <c r="C62" s="7" t="s">
        <v>19</v>
      </c>
      <c r="D62" s="8"/>
      <c r="E62" s="2"/>
      <c r="F62" s="2"/>
      <c r="G62" s="2"/>
      <c r="H62" s="2"/>
    </row>
    <row r="63" spans="1:8" x14ac:dyDescent="0.3">
      <c r="A63" s="13" t="s">
        <v>112</v>
      </c>
      <c r="B63" s="28">
        <f>1-(1-$B$61)*(1-$B$62)</f>
        <v>0.15342881944444442</v>
      </c>
      <c r="C63" s="7" t="s">
        <v>19</v>
      </c>
      <c r="D63" s="8" t="s">
        <v>113</v>
      </c>
      <c r="E63" s="2"/>
      <c r="F63" s="2"/>
      <c r="G63" s="2"/>
      <c r="H63" s="2"/>
    </row>
    <row r="64" spans="1:8" x14ac:dyDescent="0.3">
      <c r="A64" s="5" t="s">
        <v>114</v>
      </c>
      <c r="B64" s="29">
        <f>1-(1-$B$60*$B$51/$B$53)*(1-$B$57*$B$51/$B$54)</f>
        <v>5.3759799444443868E-3</v>
      </c>
      <c r="C64" s="7" t="s">
        <v>19</v>
      </c>
      <c r="D64" s="8" t="s">
        <v>115</v>
      </c>
      <c r="E64" s="2"/>
      <c r="F64" s="2"/>
      <c r="G64" s="2"/>
      <c r="H64" s="2"/>
    </row>
    <row r="65" spans="1:8" x14ac:dyDescent="0.3">
      <c r="A65" s="5" t="s">
        <v>116</v>
      </c>
      <c r="B65" s="29">
        <f>$B$58*$B$59/$B$54</f>
        <v>1.3449999999999998E-3</v>
      </c>
      <c r="C65" s="7" t="s">
        <v>19</v>
      </c>
      <c r="D65" s="8" t="s">
        <v>117</v>
      </c>
      <c r="E65" s="2"/>
      <c r="F65" s="2"/>
      <c r="G65" s="2"/>
      <c r="H65" s="2"/>
    </row>
    <row r="66" spans="1:8" x14ac:dyDescent="0.3">
      <c r="A66" s="2"/>
      <c r="B66" s="2"/>
      <c r="C66" s="2"/>
      <c r="D66" s="2"/>
      <c r="E66" s="2"/>
      <c r="F66" s="2"/>
      <c r="G66" s="2"/>
      <c r="H66" s="2"/>
    </row>
    <row r="67" spans="1:8" x14ac:dyDescent="0.3">
      <c r="A67" s="3" t="s">
        <v>118</v>
      </c>
      <c r="B67" s="4"/>
      <c r="C67" s="4"/>
      <c r="D67" s="4"/>
      <c r="E67" s="4"/>
      <c r="F67" s="4"/>
      <c r="G67" s="4"/>
      <c r="H67" s="4"/>
    </row>
    <row r="68" spans="1:8" x14ac:dyDescent="0.3">
      <c r="A68" s="5" t="s">
        <v>119</v>
      </c>
      <c r="B68" s="19">
        <v>2</v>
      </c>
      <c r="C68" s="7" t="s">
        <v>62</v>
      </c>
      <c r="D68" s="8" t="s">
        <v>120</v>
      </c>
      <c r="E68" s="2"/>
      <c r="F68" s="2"/>
      <c r="G68" s="2"/>
      <c r="H68" s="2"/>
    </row>
    <row r="69" spans="1:8" x14ac:dyDescent="0.3">
      <c r="A69" s="5" t="s">
        <v>121</v>
      </c>
      <c r="B69" s="19">
        <v>1.5</v>
      </c>
      <c r="C69" s="7" t="s">
        <v>62</v>
      </c>
      <c r="D69" s="8" t="s">
        <v>122</v>
      </c>
      <c r="E69" s="2"/>
      <c r="F69" s="2"/>
      <c r="G69" s="2"/>
      <c r="H69" s="2"/>
    </row>
    <row r="70" spans="1:8" x14ac:dyDescent="0.3">
      <c r="A70" s="5" t="s">
        <v>123</v>
      </c>
      <c r="B70" s="19">
        <v>2</v>
      </c>
      <c r="C70" s="7" t="s">
        <v>62</v>
      </c>
      <c r="D70" s="8" t="s">
        <v>124</v>
      </c>
      <c r="E70" s="2"/>
      <c r="F70" s="2"/>
      <c r="G70" s="2"/>
      <c r="H70" s="2"/>
    </row>
    <row r="71" spans="1:8" ht="22.8" x14ac:dyDescent="0.3">
      <c r="A71" s="5" t="s">
        <v>125</v>
      </c>
      <c r="B71" s="19">
        <v>6.5</v>
      </c>
      <c r="C71" s="7" t="s">
        <v>62</v>
      </c>
      <c r="D71" s="8" t="s">
        <v>126</v>
      </c>
      <c r="E71" s="2"/>
      <c r="F71" s="2"/>
      <c r="G71" s="2"/>
      <c r="H71" s="2"/>
    </row>
    <row r="72" spans="1:8" x14ac:dyDescent="0.3">
      <c r="A72" s="5" t="s">
        <v>127</v>
      </c>
      <c r="B72" s="19">
        <v>8</v>
      </c>
      <c r="C72" s="7" t="s">
        <v>62</v>
      </c>
      <c r="D72" s="8" t="s">
        <v>128</v>
      </c>
      <c r="E72" s="2"/>
      <c r="F72" s="2"/>
      <c r="G72" s="2"/>
      <c r="H72" s="2"/>
    </row>
    <row r="73" spans="1:8" x14ac:dyDescent="0.3">
      <c r="A73" s="5" t="s">
        <v>129</v>
      </c>
      <c r="B73" s="25">
        <v>7.1300000000000002E-2</v>
      </c>
      <c r="C73" s="7" t="s">
        <v>62</v>
      </c>
      <c r="D73" s="8" t="s">
        <v>130</v>
      </c>
      <c r="E73" s="2"/>
      <c r="F73" s="2"/>
      <c r="G73" s="2"/>
      <c r="H73" s="2"/>
    </row>
    <row r="74" spans="1:8" x14ac:dyDescent="0.3">
      <c r="A74" s="5" t="s">
        <v>131</v>
      </c>
      <c r="B74" s="19">
        <v>6</v>
      </c>
      <c r="C74" s="7" t="s">
        <v>62</v>
      </c>
      <c r="D74" s="8" t="s">
        <v>132</v>
      </c>
      <c r="E74" s="2"/>
      <c r="F74" s="2"/>
      <c r="G74" s="2"/>
      <c r="H74" s="2"/>
    </row>
    <row r="75" spans="1:8" x14ac:dyDescent="0.3">
      <c r="A75" s="5" t="s">
        <v>133</v>
      </c>
      <c r="B75" s="25">
        <v>5.3800000000000001E-2</v>
      </c>
      <c r="C75" s="7" t="s">
        <v>62</v>
      </c>
      <c r="D75" s="8"/>
      <c r="E75" s="2"/>
      <c r="F75" s="2"/>
      <c r="G75" s="2"/>
      <c r="H75" s="2"/>
    </row>
    <row r="76" spans="1:8" x14ac:dyDescent="0.3">
      <c r="A76" s="5" t="s">
        <v>134</v>
      </c>
      <c r="B76" s="24">
        <v>1.625</v>
      </c>
      <c r="C76" s="7" t="s">
        <v>62</v>
      </c>
      <c r="D76" s="8" t="s">
        <v>135</v>
      </c>
      <c r="E76" s="2"/>
      <c r="F76" s="2"/>
      <c r="G76" s="2"/>
      <c r="H76" s="2"/>
    </row>
    <row r="77" spans="1:8" x14ac:dyDescent="0.3">
      <c r="A77" s="5" t="s">
        <v>136</v>
      </c>
      <c r="B77" s="9">
        <v>16</v>
      </c>
      <c r="C77" s="7" t="s">
        <v>90</v>
      </c>
      <c r="D77" s="8" t="s">
        <v>137</v>
      </c>
      <c r="E77" s="2"/>
      <c r="F77" s="2"/>
      <c r="G77" s="2"/>
      <c r="H77" s="2"/>
    </row>
    <row r="78" spans="1:8" x14ac:dyDescent="0.3">
      <c r="A78" s="5" t="s">
        <v>138</v>
      </c>
      <c r="B78" s="9">
        <v>35</v>
      </c>
      <c r="C78" s="7" t="s">
        <v>14</v>
      </c>
      <c r="D78" s="8" t="s">
        <v>139</v>
      </c>
      <c r="E78" s="2"/>
      <c r="F78" s="2"/>
      <c r="G78" s="2"/>
      <c r="H78" s="2"/>
    </row>
    <row r="79" spans="1:8" x14ac:dyDescent="0.3">
      <c r="A79" s="5" t="s">
        <v>140</v>
      </c>
      <c r="B79" s="19">
        <v>0</v>
      </c>
      <c r="C79" s="7" t="s">
        <v>141</v>
      </c>
      <c r="D79" s="8" t="s">
        <v>142</v>
      </c>
      <c r="E79" s="2"/>
      <c r="F79" s="2"/>
      <c r="G79" s="2"/>
      <c r="H79" s="2"/>
    </row>
    <row r="80" spans="1:8" x14ac:dyDescent="0.3">
      <c r="A80" s="2"/>
      <c r="B80" s="2"/>
      <c r="C80" s="2"/>
      <c r="D80" s="2"/>
      <c r="E80" s="2"/>
      <c r="F80" s="2"/>
      <c r="G80" s="2"/>
      <c r="H80" s="2"/>
    </row>
    <row r="81" spans="1:8" x14ac:dyDescent="0.3">
      <c r="A81" s="3" t="s">
        <v>143</v>
      </c>
      <c r="B81" s="4"/>
      <c r="C81" s="4"/>
      <c r="D81" s="4"/>
      <c r="E81" s="4"/>
      <c r="F81" s="4"/>
      <c r="G81" s="4"/>
      <c r="H81" s="4"/>
    </row>
    <row r="82" spans="1:8" x14ac:dyDescent="0.3">
      <c r="A82" s="5" t="s">
        <v>144</v>
      </c>
      <c r="B82" s="19">
        <v>2</v>
      </c>
      <c r="C82" s="7" t="s">
        <v>62</v>
      </c>
      <c r="D82" s="8" t="s">
        <v>145</v>
      </c>
      <c r="E82" s="2"/>
      <c r="F82" s="2"/>
      <c r="G82" s="2"/>
      <c r="H82" s="2"/>
    </row>
    <row r="83" spans="1:8" x14ac:dyDescent="0.3">
      <c r="A83" s="5" t="s">
        <v>121</v>
      </c>
      <c r="B83" s="19">
        <v>1.5</v>
      </c>
      <c r="C83" s="7" t="s">
        <v>62</v>
      </c>
      <c r="D83" s="8" t="s">
        <v>146</v>
      </c>
      <c r="E83" s="2"/>
      <c r="F83" s="2"/>
      <c r="G83" s="2"/>
      <c r="H83" s="2"/>
    </row>
    <row r="84" spans="1:8" x14ac:dyDescent="0.3">
      <c r="A84" s="5" t="s">
        <v>147</v>
      </c>
      <c r="B84" s="19">
        <v>6</v>
      </c>
      <c r="C84" s="7" t="s">
        <v>62</v>
      </c>
      <c r="D84" s="8" t="s">
        <v>148</v>
      </c>
      <c r="E84" s="2"/>
      <c r="F84" s="2"/>
      <c r="G84" s="2"/>
      <c r="H84" s="2"/>
    </row>
    <row r="85" spans="1:8" x14ac:dyDescent="0.3">
      <c r="A85" s="5" t="s">
        <v>149</v>
      </c>
      <c r="B85" s="25">
        <v>7.1300000000000002E-2</v>
      </c>
      <c r="C85" s="7" t="s">
        <v>62</v>
      </c>
      <c r="D85" s="8"/>
      <c r="E85" s="2"/>
      <c r="F85" s="2"/>
      <c r="G85" s="2"/>
      <c r="H85" s="2"/>
    </row>
    <row r="86" spans="1:8" x14ac:dyDescent="0.3">
      <c r="A86" s="5" t="s">
        <v>150</v>
      </c>
      <c r="B86" s="19">
        <v>6.5</v>
      </c>
      <c r="C86" s="7" t="s">
        <v>62</v>
      </c>
      <c r="D86" s="8" t="s">
        <v>151</v>
      </c>
      <c r="E86" s="2"/>
      <c r="F86" s="2"/>
      <c r="G86" s="2"/>
      <c r="H86" s="2"/>
    </row>
    <row r="87" spans="1:8" x14ac:dyDescent="0.3">
      <c r="A87" s="5" t="s">
        <v>152</v>
      </c>
      <c r="B87" s="24">
        <v>1.625</v>
      </c>
      <c r="C87" s="7" t="s">
        <v>62</v>
      </c>
      <c r="D87" s="8" t="s">
        <v>153</v>
      </c>
      <c r="E87" s="2"/>
      <c r="F87" s="2"/>
      <c r="G87" s="2"/>
      <c r="H87" s="2"/>
    </row>
    <row r="88" spans="1:8" x14ac:dyDescent="0.3">
      <c r="A88" s="5" t="s">
        <v>154</v>
      </c>
      <c r="B88" s="9">
        <v>16</v>
      </c>
      <c r="C88" s="7" t="s">
        <v>90</v>
      </c>
      <c r="D88" s="8" t="s">
        <v>155</v>
      </c>
      <c r="E88" s="2"/>
      <c r="F88" s="2"/>
      <c r="G88" s="2"/>
      <c r="H88" s="2"/>
    </row>
    <row r="89" spans="1:8" x14ac:dyDescent="0.3">
      <c r="A89" s="5" t="s">
        <v>156</v>
      </c>
      <c r="B89" s="9">
        <v>35</v>
      </c>
      <c r="C89" s="7" t="s">
        <v>14</v>
      </c>
      <c r="D89" s="8" t="s">
        <v>157</v>
      </c>
      <c r="E89" s="2"/>
      <c r="F89" s="2"/>
      <c r="G89" s="2"/>
      <c r="H89" s="2"/>
    </row>
    <row r="90" spans="1:8" x14ac:dyDescent="0.3">
      <c r="A90" s="5" t="s">
        <v>158</v>
      </c>
      <c r="B90" s="20">
        <f>$B$86-$B$82-$B$83</f>
        <v>3</v>
      </c>
      <c r="C90" s="7" t="s">
        <v>62</v>
      </c>
      <c r="D90" s="8" t="s">
        <v>159</v>
      </c>
      <c r="E90" s="2"/>
      <c r="F90" s="2"/>
      <c r="G90" s="2"/>
      <c r="H90" s="2"/>
    </row>
    <row r="91" spans="1:8" x14ac:dyDescent="0.3">
      <c r="A91" s="5" t="s">
        <v>160</v>
      </c>
      <c r="B91" s="20">
        <f>$B$84-$B$90</f>
        <v>3</v>
      </c>
      <c r="C91" s="7" t="s">
        <v>62</v>
      </c>
      <c r="D91" s="8" t="s">
        <v>161</v>
      </c>
      <c r="E91" s="2"/>
      <c r="F91" s="2"/>
      <c r="G91" s="2"/>
      <c r="H91" s="2"/>
    </row>
    <row r="92" spans="1:8" x14ac:dyDescent="0.3">
      <c r="A92" s="2"/>
      <c r="B92" s="2"/>
      <c r="C92" s="2"/>
      <c r="D92" s="2"/>
      <c r="E92" s="2"/>
      <c r="F92" s="2"/>
      <c r="G92" s="2"/>
      <c r="H92" s="2"/>
    </row>
    <row r="93" spans="1:8" x14ac:dyDescent="0.3">
      <c r="A93" s="3" t="s">
        <v>162</v>
      </c>
      <c r="B93" s="4"/>
      <c r="C93" s="4"/>
      <c r="D93" s="4"/>
      <c r="E93" s="4"/>
      <c r="F93" s="4"/>
      <c r="G93" s="4"/>
      <c r="H93" s="4"/>
    </row>
    <row r="94" spans="1:8" x14ac:dyDescent="0.3">
      <c r="A94" s="5" t="s">
        <v>163</v>
      </c>
      <c r="B94" s="9">
        <v>314</v>
      </c>
      <c r="C94" s="7" t="s">
        <v>22</v>
      </c>
      <c r="D94" s="8" t="s">
        <v>164</v>
      </c>
      <c r="E94" s="2"/>
      <c r="F94" s="2"/>
      <c r="G94" s="2"/>
      <c r="H94" s="2"/>
    </row>
    <row r="95" spans="1:8" ht="22.8" x14ac:dyDescent="0.3">
      <c r="A95" s="5" t="s">
        <v>165</v>
      </c>
      <c r="B95" s="12">
        <v>0.2</v>
      </c>
      <c r="C95" s="7" t="s">
        <v>166</v>
      </c>
      <c r="D95" s="8" t="s">
        <v>167</v>
      </c>
      <c r="E95" s="2"/>
      <c r="F95" s="2"/>
      <c r="G95" s="2"/>
      <c r="H95" s="2"/>
    </row>
    <row r="96" spans="1:8" x14ac:dyDescent="0.3">
      <c r="A96" s="5" t="s">
        <v>168</v>
      </c>
      <c r="B96" s="19">
        <v>0.12</v>
      </c>
      <c r="C96" s="7" t="s">
        <v>166</v>
      </c>
      <c r="D96" s="8"/>
      <c r="E96" s="2"/>
      <c r="F96" s="2"/>
      <c r="G96" s="2"/>
      <c r="H96" s="2"/>
    </row>
    <row r="97" spans="1:8" ht="22.8" x14ac:dyDescent="0.3">
      <c r="A97" s="5" t="s">
        <v>169</v>
      </c>
      <c r="B97" s="12">
        <v>1.5</v>
      </c>
      <c r="C97" s="7" t="s">
        <v>79</v>
      </c>
      <c r="D97" s="8" t="s">
        <v>170</v>
      </c>
      <c r="E97" s="2"/>
      <c r="F97" s="2"/>
      <c r="G97" s="2"/>
      <c r="H97" s="2"/>
    </row>
    <row r="98" spans="1:8" x14ac:dyDescent="0.3">
      <c r="A98" s="2"/>
      <c r="B98" s="2"/>
      <c r="C98" s="2"/>
      <c r="D98" s="2"/>
      <c r="E98" s="2"/>
      <c r="F98" s="2"/>
      <c r="G98" s="2"/>
      <c r="H98" s="2"/>
    </row>
    <row r="99" spans="1:8" x14ac:dyDescent="0.3">
      <c r="A99" s="3" t="s">
        <v>171</v>
      </c>
      <c r="B99" s="4"/>
      <c r="C99" s="4"/>
      <c r="D99" s="4"/>
      <c r="E99" s="4"/>
      <c r="F99" s="4"/>
      <c r="G99" s="4"/>
      <c r="H99" s="4"/>
    </row>
    <row r="100" spans="1:8" x14ac:dyDescent="0.3">
      <c r="A100" s="5" t="s">
        <v>172</v>
      </c>
      <c r="B100" s="19">
        <v>0.68</v>
      </c>
      <c r="C100" s="7" t="s">
        <v>141</v>
      </c>
      <c r="D100" s="8"/>
      <c r="E100" s="2"/>
      <c r="F100" s="2"/>
      <c r="G100" s="2"/>
      <c r="H100" s="2"/>
    </row>
    <row r="101" spans="1:8" x14ac:dyDescent="0.3">
      <c r="A101" s="5" t="s">
        <v>173</v>
      </c>
      <c r="B101" s="19">
        <v>0.17</v>
      </c>
      <c r="C101" s="7" t="s">
        <v>141</v>
      </c>
      <c r="D101" s="8"/>
      <c r="E101" s="2"/>
      <c r="F101" s="2"/>
      <c r="G101" s="2"/>
      <c r="H101" s="2"/>
    </row>
    <row r="102" spans="1:8" x14ac:dyDescent="0.3">
      <c r="A102" s="5" t="s">
        <v>174</v>
      </c>
      <c r="B102" s="19">
        <v>0.61</v>
      </c>
      <c r="C102" s="7" t="s">
        <v>141</v>
      </c>
      <c r="D102" s="8"/>
      <c r="E102" s="2"/>
      <c r="F102" s="2"/>
      <c r="G102" s="2"/>
      <c r="H102" s="2"/>
    </row>
    <row r="103" spans="1:8" x14ac:dyDescent="0.3">
      <c r="A103" s="5" t="s">
        <v>175</v>
      </c>
      <c r="B103" s="19">
        <v>0.92</v>
      </c>
      <c r="C103" s="7" t="s">
        <v>141</v>
      </c>
      <c r="D103" s="8"/>
      <c r="E103" s="2"/>
      <c r="F103" s="2"/>
      <c r="G103" s="2"/>
      <c r="H103" s="2"/>
    </row>
    <row r="104" spans="1:8" x14ac:dyDescent="0.3">
      <c r="A104" s="2"/>
      <c r="B104" s="2"/>
      <c r="C104" s="2"/>
      <c r="D104" s="2"/>
      <c r="E104" s="2"/>
      <c r="F104" s="2"/>
      <c r="G104" s="2"/>
      <c r="H104" s="2"/>
    </row>
    <row r="105" spans="1:8" x14ac:dyDescent="0.3">
      <c r="A105" s="3" t="s">
        <v>176</v>
      </c>
      <c r="B105" s="4"/>
      <c r="C105" s="4"/>
      <c r="D105" s="4"/>
      <c r="E105" s="4"/>
      <c r="F105" s="4"/>
      <c r="G105" s="4"/>
      <c r="H105" s="4"/>
    </row>
    <row r="106" spans="1:8" x14ac:dyDescent="0.3">
      <c r="A106" s="5" t="s">
        <v>177</v>
      </c>
      <c r="B106" s="30">
        <v>3.8</v>
      </c>
      <c r="C106" s="7" t="s">
        <v>178</v>
      </c>
      <c r="D106" s="8" t="s">
        <v>179</v>
      </c>
      <c r="E106" s="2"/>
      <c r="F106" s="2"/>
      <c r="G106" s="2"/>
      <c r="H106" s="2"/>
    </row>
    <row r="107" spans="1:8" x14ac:dyDescent="0.3">
      <c r="A107" s="5" t="s">
        <v>180</v>
      </c>
      <c r="B107" s="30">
        <v>5</v>
      </c>
      <c r="C107" s="7" t="s">
        <v>178</v>
      </c>
      <c r="D107" s="8" t="s">
        <v>181</v>
      </c>
      <c r="E107" s="2"/>
      <c r="F107" s="2"/>
      <c r="G107" s="2"/>
      <c r="H107" s="2"/>
    </row>
    <row r="108" spans="1:8" x14ac:dyDescent="0.3">
      <c r="A108" s="5" t="s">
        <v>182</v>
      </c>
      <c r="B108" s="30">
        <v>6</v>
      </c>
      <c r="C108" s="7" t="s">
        <v>178</v>
      </c>
      <c r="D108" s="8" t="s">
        <v>183</v>
      </c>
      <c r="E108" s="2"/>
      <c r="F108" s="2"/>
      <c r="G108" s="2"/>
      <c r="H108" s="2"/>
    </row>
    <row r="109" spans="1:8" x14ac:dyDescent="0.3">
      <c r="A109" s="5" t="s">
        <v>184</v>
      </c>
      <c r="B109" s="30">
        <v>4.2</v>
      </c>
      <c r="C109" s="7" t="s">
        <v>178</v>
      </c>
      <c r="D109" s="8"/>
      <c r="E109" s="2"/>
      <c r="F109" s="2"/>
      <c r="G109" s="2"/>
      <c r="H109" s="2"/>
    </row>
    <row r="110" spans="1:8" x14ac:dyDescent="0.3">
      <c r="A110" s="5" t="s">
        <v>185</v>
      </c>
      <c r="B110" s="19">
        <v>0.08</v>
      </c>
      <c r="C110" s="7" t="s">
        <v>186</v>
      </c>
      <c r="D110" s="8" t="s">
        <v>187</v>
      </c>
      <c r="E110" s="2"/>
      <c r="F110" s="2"/>
      <c r="G110" s="2"/>
      <c r="H110" s="2"/>
    </row>
    <row r="111" spans="1:8" x14ac:dyDescent="0.3">
      <c r="A111" s="5" t="s">
        <v>188</v>
      </c>
      <c r="B111" s="19">
        <v>0.13</v>
      </c>
      <c r="C111" s="7" t="s">
        <v>186</v>
      </c>
      <c r="D111" s="8" t="s">
        <v>189</v>
      </c>
      <c r="E111" s="2"/>
      <c r="F111" s="2"/>
      <c r="G111" s="2"/>
      <c r="H111" s="2"/>
    </row>
    <row r="112" spans="1:8" x14ac:dyDescent="0.3">
      <c r="A112" s="5" t="s">
        <v>190</v>
      </c>
      <c r="B112" s="19">
        <v>0.17</v>
      </c>
      <c r="C112" s="7" t="s">
        <v>186</v>
      </c>
      <c r="D112" s="8" t="s">
        <v>191</v>
      </c>
      <c r="E112" s="2"/>
      <c r="F112" s="2"/>
      <c r="G112" s="2"/>
      <c r="H112" s="2"/>
    </row>
    <row r="113" spans="1:8" x14ac:dyDescent="0.3">
      <c r="A113" s="5" t="s">
        <v>192</v>
      </c>
      <c r="B113" s="19">
        <v>0.67</v>
      </c>
      <c r="C113" s="7" t="s">
        <v>186</v>
      </c>
      <c r="D113" s="8" t="s">
        <v>193</v>
      </c>
      <c r="E113" s="2"/>
      <c r="F113" s="2"/>
      <c r="G113" s="2"/>
      <c r="H113" s="2"/>
    </row>
    <row r="114" spans="1:8" x14ac:dyDescent="0.3">
      <c r="A114" s="2"/>
      <c r="B114" s="2"/>
      <c r="C114" s="2"/>
      <c r="D114" s="2"/>
      <c r="E114" s="2"/>
      <c r="F114" s="2"/>
      <c r="G114" s="2"/>
      <c r="H114" s="2"/>
    </row>
    <row r="115" spans="1:8" x14ac:dyDescent="0.3">
      <c r="A115" s="3" t="s">
        <v>194</v>
      </c>
      <c r="B115" s="4"/>
      <c r="C115" s="4"/>
      <c r="D115" s="4"/>
      <c r="E115" s="4"/>
      <c r="F115" s="4"/>
      <c r="G115" s="4"/>
      <c r="H115" s="4"/>
    </row>
    <row r="116" spans="1:8" x14ac:dyDescent="0.3">
      <c r="A116" s="5" t="s">
        <v>195</v>
      </c>
      <c r="B116" s="31">
        <v>1498.3</v>
      </c>
      <c r="C116" s="7" t="s">
        <v>196</v>
      </c>
      <c r="D116" s="8" t="s">
        <v>197</v>
      </c>
      <c r="E116" s="2"/>
      <c r="F116" s="2"/>
      <c r="G116" s="2"/>
      <c r="H116" s="2"/>
    </row>
    <row r="117" spans="1:8" x14ac:dyDescent="0.3">
      <c r="A117" s="5" t="s">
        <v>198</v>
      </c>
      <c r="B117" s="31">
        <v>190.5</v>
      </c>
      <c r="C117" s="7" t="s">
        <v>196</v>
      </c>
      <c r="D117" s="8" t="s">
        <v>199</v>
      </c>
      <c r="E117" s="2"/>
      <c r="F117" s="2"/>
      <c r="G117" s="2"/>
      <c r="H117" s="2"/>
    </row>
    <row r="118" spans="1:8" x14ac:dyDescent="0.3">
      <c r="A118" s="5" t="s">
        <v>200</v>
      </c>
      <c r="B118" s="31">
        <v>66.7</v>
      </c>
      <c r="C118" s="7" t="s">
        <v>196</v>
      </c>
      <c r="D118" s="8" t="s">
        <v>201</v>
      </c>
      <c r="E118" s="2"/>
      <c r="F118" s="2"/>
      <c r="G118" s="2"/>
      <c r="H118" s="2"/>
    </row>
    <row r="119" spans="1:8" x14ac:dyDescent="0.3">
      <c r="A119" s="5" t="s">
        <v>202</v>
      </c>
      <c r="B119" s="31">
        <v>21</v>
      </c>
      <c r="C119" s="7" t="s">
        <v>196</v>
      </c>
      <c r="D119" s="8" t="s">
        <v>199</v>
      </c>
      <c r="E119" s="2"/>
      <c r="F119" s="2"/>
      <c r="G119" s="2"/>
      <c r="H119" s="2"/>
    </row>
    <row r="120" spans="1:8" x14ac:dyDescent="0.3">
      <c r="A120" s="5" t="s">
        <v>203</v>
      </c>
      <c r="B120" s="22">
        <f>$B$116-$B$117-$B$118-$B$119</f>
        <v>1220.0999999999999</v>
      </c>
      <c r="C120" s="7" t="s">
        <v>196</v>
      </c>
      <c r="D120" s="8"/>
      <c r="E120" s="2"/>
      <c r="F120" s="2"/>
      <c r="G120" s="2"/>
      <c r="H120" s="2"/>
    </row>
    <row r="121" spans="1:8" x14ac:dyDescent="0.3">
      <c r="A121" s="5" t="s">
        <v>204</v>
      </c>
      <c r="B121" s="9">
        <v>1387</v>
      </c>
      <c r="C121" s="7" t="s">
        <v>196</v>
      </c>
      <c r="D121" s="8" t="s">
        <v>205</v>
      </c>
      <c r="E121" s="2"/>
      <c r="F121" s="2"/>
      <c r="G121" s="2"/>
      <c r="H121" s="2"/>
    </row>
    <row r="122" spans="1:8" x14ac:dyDescent="0.3">
      <c r="A122" s="5" t="s">
        <v>206</v>
      </c>
      <c r="B122" s="12">
        <v>0.27</v>
      </c>
      <c r="C122" s="7" t="s">
        <v>207</v>
      </c>
      <c r="D122" s="8" t="s">
        <v>208</v>
      </c>
      <c r="E122" s="2"/>
      <c r="F122" s="2"/>
      <c r="G122" s="2"/>
      <c r="H122" s="2"/>
    </row>
    <row r="123" spans="1:8" x14ac:dyDescent="0.3">
      <c r="A123" s="5" t="s">
        <v>209</v>
      </c>
      <c r="B123" s="12">
        <v>0.3</v>
      </c>
      <c r="C123" s="7" t="s">
        <v>207</v>
      </c>
      <c r="D123" s="8" t="s">
        <v>210</v>
      </c>
      <c r="E123" s="2"/>
      <c r="F123" s="2"/>
      <c r="G123" s="2"/>
      <c r="H123" s="2"/>
    </row>
    <row r="124" spans="1:8" x14ac:dyDescent="0.3">
      <c r="A124" s="5" t="s">
        <v>211</v>
      </c>
      <c r="B124" s="12">
        <v>0.3</v>
      </c>
      <c r="C124" s="7" t="s">
        <v>207</v>
      </c>
      <c r="D124" s="8" t="s">
        <v>212</v>
      </c>
      <c r="E124" s="2"/>
      <c r="F124" s="2"/>
      <c r="G124" s="2"/>
      <c r="H124" s="2"/>
    </row>
    <row r="125" spans="1:8" x14ac:dyDescent="0.3">
      <c r="A125" s="2"/>
      <c r="B125" s="2"/>
      <c r="C125" s="2"/>
      <c r="D125" s="2"/>
      <c r="E125" s="2"/>
      <c r="F125" s="2"/>
      <c r="G125" s="2"/>
      <c r="H125" s="2"/>
    </row>
    <row r="126" spans="1:8" ht="30" customHeight="1" x14ac:dyDescent="0.3">
      <c r="A126" s="72" t="s">
        <v>213</v>
      </c>
      <c r="B126" s="73"/>
      <c r="C126" s="73"/>
      <c r="D126" s="73"/>
      <c r="E126" s="73"/>
      <c r="F126" s="73"/>
      <c r="G126" s="73"/>
      <c r="H126" s="73"/>
    </row>
  </sheetData>
  <mergeCells count="2">
    <mergeCell ref="A126:H126"/>
    <mergeCell ref="A2:H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12"/>
  <sheetViews>
    <sheetView showGridLines="0" workbookViewId="0">
      <pane ySplit="3" topLeftCell="A4" activePane="bottomLeft" state="frozen"/>
      <selection pane="bottomLeft"/>
    </sheetView>
  </sheetViews>
  <sheetFormatPr defaultRowHeight="14.4" x14ac:dyDescent="0.3"/>
  <cols>
    <col min="1" max="1" width="140" customWidth="1"/>
  </cols>
  <sheetData>
    <row r="1" spans="1:1" ht="17.399999999999999" x14ac:dyDescent="0.3">
      <c r="A1" s="1" t="s">
        <v>614</v>
      </c>
    </row>
    <row r="2" spans="1:1" x14ac:dyDescent="0.3">
      <c r="A2" s="2"/>
    </row>
    <row r="3" spans="1:1" ht="48" customHeight="1" x14ac:dyDescent="0.3">
      <c r="A3" s="8" t="s">
        <v>615</v>
      </c>
    </row>
    <row r="4" spans="1:1" ht="48" customHeight="1" x14ac:dyDescent="0.3">
      <c r="A4" s="8" t="s">
        <v>616</v>
      </c>
    </row>
    <row r="5" spans="1:1" ht="48" customHeight="1" x14ac:dyDescent="0.3">
      <c r="A5" s="8" t="s">
        <v>617</v>
      </c>
    </row>
    <row r="6" spans="1:1" ht="48" customHeight="1" x14ac:dyDescent="0.3">
      <c r="A6" s="8" t="s">
        <v>618</v>
      </c>
    </row>
    <row r="7" spans="1:1" ht="48" customHeight="1" x14ac:dyDescent="0.3">
      <c r="A7" s="8" t="s">
        <v>619</v>
      </c>
    </row>
    <row r="8" spans="1:1" ht="48" customHeight="1" x14ac:dyDescent="0.3">
      <c r="A8" s="8" t="s">
        <v>620</v>
      </c>
    </row>
    <row r="9" spans="1:1" ht="48" customHeight="1" x14ac:dyDescent="0.3">
      <c r="A9" s="8" t="s">
        <v>621</v>
      </c>
    </row>
    <row r="10" spans="1:1" ht="48" customHeight="1" x14ac:dyDescent="0.3">
      <c r="A10" s="8" t="s">
        <v>622</v>
      </c>
    </row>
    <row r="11" spans="1:1" ht="48" customHeight="1" x14ac:dyDescent="0.3">
      <c r="A11" s="8" t="s">
        <v>623</v>
      </c>
    </row>
    <row r="12" spans="1:1" ht="48" customHeight="1" x14ac:dyDescent="0.3">
      <c r="A12" s="8" t="s">
        <v>624</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4"/>
  <sheetViews>
    <sheetView showGridLines="0" workbookViewId="0">
      <pane ySplit="3" topLeftCell="A4" activePane="bottomLeft" state="frozen"/>
      <selection pane="bottomLeft"/>
    </sheetView>
  </sheetViews>
  <sheetFormatPr defaultRowHeight="14.4" x14ac:dyDescent="0.3"/>
  <cols>
    <col min="1" max="1" width="16" customWidth="1"/>
    <col min="2" max="2" width="12" customWidth="1"/>
    <col min="3" max="8" width="16" customWidth="1"/>
    <col min="9" max="9" width="60" customWidth="1"/>
  </cols>
  <sheetData>
    <row r="1" spans="1:9" ht="17.399999999999999" x14ac:dyDescent="0.3">
      <c r="A1" s="1" t="s">
        <v>214</v>
      </c>
      <c r="B1" s="2"/>
      <c r="C1" s="2"/>
      <c r="D1" s="2"/>
      <c r="E1" s="2"/>
      <c r="F1" s="2"/>
      <c r="G1" s="2"/>
      <c r="H1" s="2"/>
      <c r="I1" s="2"/>
    </row>
    <row r="2" spans="1:9" ht="43.95" customHeight="1" x14ac:dyDescent="0.3">
      <c r="A2" s="74" t="s">
        <v>215</v>
      </c>
      <c r="B2" s="73"/>
      <c r="C2" s="73"/>
      <c r="D2" s="73"/>
      <c r="E2" s="73"/>
      <c r="F2" s="73"/>
      <c r="G2" s="73"/>
      <c r="H2" s="73"/>
      <c r="I2" s="2"/>
    </row>
    <row r="3" spans="1:9" x14ac:dyDescent="0.3">
      <c r="A3" s="2"/>
      <c r="B3" s="2"/>
      <c r="C3" s="2"/>
      <c r="D3" s="2"/>
      <c r="E3" s="2"/>
      <c r="F3" s="2"/>
      <c r="G3" s="2"/>
      <c r="H3" s="2"/>
      <c r="I3" s="2"/>
    </row>
    <row r="4" spans="1:9" x14ac:dyDescent="0.3">
      <c r="A4" s="3" t="s">
        <v>216</v>
      </c>
      <c r="B4" s="4"/>
      <c r="C4" s="4"/>
      <c r="D4" s="4"/>
      <c r="E4" s="4"/>
      <c r="F4" s="4"/>
      <c r="G4" s="4"/>
      <c r="H4" s="4"/>
      <c r="I4" s="4"/>
    </row>
    <row r="5" spans="1:9" ht="34.200000000000003" x14ac:dyDescent="0.3">
      <c r="A5" s="5" t="s">
        <v>217</v>
      </c>
      <c r="B5" s="9">
        <v>40</v>
      </c>
      <c r="C5" s="7" t="s">
        <v>14</v>
      </c>
      <c r="D5" s="8" t="s">
        <v>218</v>
      </c>
      <c r="E5" s="2"/>
      <c r="F5" s="2"/>
      <c r="G5" s="2"/>
      <c r="H5" s="2"/>
      <c r="I5" s="2"/>
    </row>
    <row r="6" spans="1:9" x14ac:dyDescent="0.3">
      <c r="A6" s="5" t="s">
        <v>219</v>
      </c>
      <c r="B6" s="19">
        <v>1.3</v>
      </c>
      <c r="C6" s="7" t="s">
        <v>22</v>
      </c>
      <c r="D6" s="8" t="s">
        <v>220</v>
      </c>
      <c r="E6" s="2"/>
      <c r="F6" s="2"/>
      <c r="G6" s="2"/>
      <c r="H6" s="2"/>
      <c r="I6" s="2"/>
    </row>
    <row r="7" spans="1:9" ht="34.200000000000003" x14ac:dyDescent="0.3">
      <c r="A7" s="5" t="s">
        <v>221</v>
      </c>
      <c r="B7" s="9">
        <v>80</v>
      </c>
      <c r="C7" s="7" t="s">
        <v>14</v>
      </c>
      <c r="D7" s="8" t="s">
        <v>222</v>
      </c>
      <c r="E7" s="2"/>
      <c r="F7" s="2"/>
      <c r="G7" s="2"/>
      <c r="H7" s="2"/>
      <c r="I7" s="2"/>
    </row>
    <row r="8" spans="1:9" ht="57" x14ac:dyDescent="0.3">
      <c r="A8" s="5" t="s">
        <v>223</v>
      </c>
      <c r="B8" s="19">
        <v>3</v>
      </c>
      <c r="C8" s="7" t="s">
        <v>22</v>
      </c>
      <c r="D8" s="8" t="s">
        <v>224</v>
      </c>
      <c r="E8" s="2"/>
      <c r="F8" s="2"/>
      <c r="G8" s="2"/>
      <c r="H8" s="2"/>
      <c r="I8" s="2"/>
    </row>
    <row r="9" spans="1:9" x14ac:dyDescent="0.3">
      <c r="A9" s="5" t="s">
        <v>225</v>
      </c>
      <c r="B9" s="32">
        <f>LN($B$8/$B$6)/LN($B$7/$B$5)</f>
        <v>1.2064508774674263</v>
      </c>
      <c r="C9" s="7"/>
      <c r="D9" s="8" t="s">
        <v>226</v>
      </c>
      <c r="E9" s="2"/>
      <c r="F9" s="2"/>
      <c r="G9" s="2"/>
      <c r="H9" s="2"/>
      <c r="I9" s="2"/>
    </row>
    <row r="10" spans="1:9" x14ac:dyDescent="0.3">
      <c r="A10" s="5" t="s">
        <v>227</v>
      </c>
      <c r="B10" s="33">
        <f>$B$6/$B$5^$B$9</f>
        <v>1.5175278497444648E-2</v>
      </c>
      <c r="C10" s="7"/>
      <c r="D10" s="8"/>
      <c r="E10" s="2"/>
      <c r="F10" s="2"/>
      <c r="G10" s="2"/>
      <c r="H10" s="2"/>
      <c r="I10" s="2"/>
    </row>
    <row r="11" spans="1:9" ht="148.19999999999999" x14ac:dyDescent="0.3">
      <c r="A11" s="5" t="s">
        <v>228</v>
      </c>
      <c r="B11" s="19">
        <v>0.5</v>
      </c>
      <c r="C11" s="7"/>
      <c r="D11" s="8" t="s">
        <v>229</v>
      </c>
      <c r="E11" s="2"/>
      <c r="F11" s="2"/>
      <c r="G11" s="2"/>
      <c r="H11" s="2"/>
      <c r="I11" s="2"/>
    </row>
    <row r="12" spans="1:9" x14ac:dyDescent="0.3">
      <c r="A12" s="5" t="s">
        <v>230</v>
      </c>
      <c r="B12" s="24">
        <v>0.02</v>
      </c>
      <c r="C12" s="7" t="s">
        <v>231</v>
      </c>
      <c r="D12" s="8"/>
      <c r="E12" s="2"/>
      <c r="F12" s="2"/>
      <c r="G12" s="2"/>
      <c r="H12" s="2"/>
      <c r="I12" s="2"/>
    </row>
    <row r="13" spans="1:9" x14ac:dyDescent="0.3">
      <c r="A13" s="2"/>
      <c r="B13" s="2"/>
      <c r="C13" s="2"/>
      <c r="D13" s="2"/>
      <c r="E13" s="2"/>
      <c r="F13" s="2"/>
      <c r="G13" s="2"/>
      <c r="H13" s="2"/>
      <c r="I13" s="2"/>
    </row>
    <row r="14" spans="1:9" x14ac:dyDescent="0.3">
      <c r="A14" s="3" t="s">
        <v>232</v>
      </c>
      <c r="B14" s="4"/>
      <c r="C14" s="4"/>
      <c r="D14" s="4"/>
      <c r="E14" s="4"/>
      <c r="F14" s="4"/>
      <c r="G14" s="4"/>
      <c r="H14" s="4"/>
      <c r="I14" s="4"/>
    </row>
    <row r="15" spans="1:9" ht="30" customHeight="1" x14ac:dyDescent="0.3">
      <c r="A15" s="34" t="s">
        <v>233</v>
      </c>
      <c r="B15" s="34" t="s">
        <v>234</v>
      </c>
      <c r="C15" s="34" t="s">
        <v>235</v>
      </c>
      <c r="D15" s="34" t="s">
        <v>236</v>
      </c>
      <c r="E15" s="34" t="s">
        <v>237</v>
      </c>
      <c r="F15" s="34" t="s">
        <v>238</v>
      </c>
      <c r="G15" s="34" t="s">
        <v>239</v>
      </c>
      <c r="H15" s="34" t="s">
        <v>240</v>
      </c>
      <c r="I15" s="34" t="s">
        <v>241</v>
      </c>
    </row>
    <row r="16" spans="1:9" ht="52.05" customHeight="1" x14ac:dyDescent="0.3">
      <c r="A16" s="35">
        <v>20</v>
      </c>
      <c r="B16" s="36">
        <f t="shared" ref="B16:B21" si="0">A16*16.0185</f>
        <v>320.37</v>
      </c>
      <c r="C16" s="37">
        <v>0.8</v>
      </c>
      <c r="D16" s="38">
        <f t="shared" ref="D16:D21" si="1">$B$10*A16^$B$9</f>
        <v>0.56333333333333302</v>
      </c>
      <c r="E16" s="39">
        <f t="shared" ref="E16:E21" si="2">$B$11*EXP($B$12*A16)</f>
        <v>0.74591234882063517</v>
      </c>
      <c r="F16" s="40">
        <f>0.08*6.933</f>
        <v>0.55464000000000002</v>
      </c>
      <c r="G16" s="40">
        <f>0.11*6.933</f>
        <v>0.76263000000000003</v>
      </c>
      <c r="H16" s="39">
        <f>D16*(1+Inputs!$B$12)</f>
        <v>0.6759999999999996</v>
      </c>
      <c r="I16" s="41" t="s">
        <v>242</v>
      </c>
    </row>
    <row r="17" spans="1:9" ht="52.05" customHeight="1" x14ac:dyDescent="0.3">
      <c r="A17" s="35">
        <v>25</v>
      </c>
      <c r="B17" s="36">
        <f t="shared" si="0"/>
        <v>400.46249999999998</v>
      </c>
      <c r="C17" s="42" t="s">
        <v>243</v>
      </c>
      <c r="D17" s="38">
        <f t="shared" si="1"/>
        <v>0.73736517101160493</v>
      </c>
      <c r="E17" s="39">
        <f t="shared" si="2"/>
        <v>0.8243606353500641</v>
      </c>
      <c r="F17" s="40">
        <f>0.1*6.933</f>
        <v>0.69330000000000003</v>
      </c>
      <c r="G17" s="40">
        <f>0.14*6.933</f>
        <v>0.97062000000000004</v>
      </c>
      <c r="H17" s="39">
        <f>D17*(1+Inputs!$B$12)</f>
        <v>0.88483820521392587</v>
      </c>
      <c r="I17" s="41" t="s">
        <v>244</v>
      </c>
    </row>
    <row r="18" spans="1:9" ht="52.05" customHeight="1" x14ac:dyDescent="0.3">
      <c r="A18" s="35">
        <v>30</v>
      </c>
      <c r="B18" s="36">
        <f t="shared" si="0"/>
        <v>480.55500000000001</v>
      </c>
      <c r="C18" s="37">
        <v>1.1000000000000001</v>
      </c>
      <c r="D18" s="38">
        <f t="shared" si="1"/>
        <v>0.91877866928903595</v>
      </c>
      <c r="E18" s="39">
        <f t="shared" si="2"/>
        <v>0.91105940019525444</v>
      </c>
      <c r="F18" s="40">
        <f>0.11*6.933</f>
        <v>0.76263000000000003</v>
      </c>
      <c r="G18" s="40">
        <f>0.17*6.933</f>
        <v>1.1786100000000002</v>
      </c>
      <c r="H18" s="39">
        <f>D18*(1+Inputs!$B$12)</f>
        <v>1.1025344031468431</v>
      </c>
      <c r="I18" s="41" t="s">
        <v>245</v>
      </c>
    </row>
    <row r="19" spans="1:9" ht="52.05" customHeight="1" x14ac:dyDescent="0.3">
      <c r="A19" s="35">
        <v>35</v>
      </c>
      <c r="B19" s="36">
        <f t="shared" si="0"/>
        <v>560.64750000000004</v>
      </c>
      <c r="C19" s="42" t="s">
        <v>243</v>
      </c>
      <c r="D19" s="38">
        <f t="shared" si="1"/>
        <v>1.1065700637590952</v>
      </c>
      <c r="E19" s="39">
        <f t="shared" si="2"/>
        <v>1.0068763537352383</v>
      </c>
      <c r="F19" s="40">
        <f>0.13*6.933</f>
        <v>0.90129000000000004</v>
      </c>
      <c r="G19" s="40">
        <f>0.2*6.933</f>
        <v>1.3866000000000001</v>
      </c>
      <c r="H19" s="39">
        <f>D19*(1+Inputs!$B$12)</f>
        <v>1.3278840765109141</v>
      </c>
      <c r="I19" s="41" t="s">
        <v>246</v>
      </c>
    </row>
    <row r="20" spans="1:9" ht="52.05" customHeight="1" x14ac:dyDescent="0.3">
      <c r="A20" s="35">
        <v>40</v>
      </c>
      <c r="B20" s="36">
        <f t="shared" si="0"/>
        <v>640.74</v>
      </c>
      <c r="C20" s="37">
        <v>1.3</v>
      </c>
      <c r="D20" s="38">
        <f t="shared" si="1"/>
        <v>1.3</v>
      </c>
      <c r="E20" s="39">
        <f t="shared" si="2"/>
        <v>1.1127704642462339</v>
      </c>
      <c r="F20" s="40">
        <f>0.15*6.933</f>
        <v>1.0399499999999999</v>
      </c>
      <c r="G20" s="40">
        <f>0.23*6.933</f>
        <v>1.59459</v>
      </c>
      <c r="H20" s="39">
        <f>D20*(1+Inputs!$B$12)</f>
        <v>1.56</v>
      </c>
      <c r="I20" s="41" t="s">
        <v>247</v>
      </c>
    </row>
    <row r="21" spans="1:9" ht="52.05" customHeight="1" x14ac:dyDescent="0.3">
      <c r="A21" s="35">
        <v>50</v>
      </c>
      <c r="B21" s="36">
        <f t="shared" si="0"/>
        <v>800.92499999999995</v>
      </c>
      <c r="C21" s="37">
        <v>1.8</v>
      </c>
      <c r="D21" s="38">
        <f t="shared" si="1"/>
        <v>1.7016119331037038</v>
      </c>
      <c r="E21" s="39">
        <f t="shared" si="2"/>
        <v>1.3591409142295225</v>
      </c>
      <c r="F21" s="40">
        <f>0.2*6.933</f>
        <v>1.3866000000000001</v>
      </c>
      <c r="G21" s="40">
        <f>0.3*6.933</f>
        <v>2.0798999999999999</v>
      </c>
      <c r="H21" s="39">
        <f>D21*(1+Inputs!$B$12)</f>
        <v>2.0419343197244446</v>
      </c>
      <c r="I21" s="41" t="s">
        <v>248</v>
      </c>
    </row>
    <row r="22" spans="1:9" x14ac:dyDescent="0.3">
      <c r="A22" s="2"/>
      <c r="B22" s="2"/>
      <c r="C22" s="2"/>
      <c r="D22" s="2"/>
      <c r="E22" s="2"/>
      <c r="F22" s="2"/>
      <c r="G22" s="2"/>
      <c r="H22" s="2"/>
      <c r="I22" s="2"/>
    </row>
    <row r="23" spans="1:9" ht="109.95" customHeight="1" x14ac:dyDescent="0.3">
      <c r="A23" s="72" t="s">
        <v>249</v>
      </c>
      <c r="B23" s="73"/>
      <c r="C23" s="73"/>
      <c r="D23" s="73"/>
      <c r="E23" s="73"/>
      <c r="F23" s="73"/>
      <c r="G23" s="73"/>
      <c r="H23" s="73"/>
      <c r="I23" s="73"/>
    </row>
    <row r="24" spans="1:9" ht="30" customHeight="1" x14ac:dyDescent="0.3">
      <c r="A24" s="75" t="s">
        <v>250</v>
      </c>
      <c r="B24" s="73"/>
      <c r="C24" s="73"/>
      <c r="D24" s="73"/>
      <c r="E24" s="73"/>
      <c r="F24" s="73"/>
      <c r="G24" s="73"/>
      <c r="H24" s="73"/>
      <c r="I24" s="73"/>
    </row>
  </sheetData>
  <mergeCells count="3">
    <mergeCell ref="A23:I23"/>
    <mergeCell ref="A2:H2"/>
    <mergeCell ref="A24:I24"/>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5"/>
  <sheetViews>
    <sheetView showGridLines="0" workbookViewId="0">
      <pane ySplit="3" topLeftCell="A4" activePane="bottomLeft" state="frozen"/>
      <selection pane="bottomLeft"/>
    </sheetView>
  </sheetViews>
  <sheetFormatPr defaultRowHeight="14.4" x14ac:dyDescent="0.3"/>
  <cols>
    <col min="1" max="1" width="58" customWidth="1"/>
    <col min="2" max="2" width="14" customWidth="1"/>
    <col min="3" max="3" width="12" customWidth="1"/>
    <col min="4" max="4" width="18" customWidth="1"/>
    <col min="5" max="6" width="20" customWidth="1"/>
    <col min="7" max="7" width="70" customWidth="1"/>
  </cols>
  <sheetData>
    <row r="1" spans="1:8" ht="17.399999999999999" x14ac:dyDescent="0.3">
      <c r="A1" s="1" t="s">
        <v>251</v>
      </c>
      <c r="B1" s="2"/>
      <c r="C1" s="2"/>
      <c r="D1" s="2"/>
      <c r="E1" s="2"/>
      <c r="F1" s="2"/>
      <c r="G1" s="2"/>
      <c r="H1" s="2"/>
    </row>
    <row r="2" spans="1:8" ht="43.95" customHeight="1" x14ac:dyDescent="0.3">
      <c r="A2" s="74" t="s">
        <v>252</v>
      </c>
      <c r="B2" s="73"/>
      <c r="C2" s="73"/>
      <c r="D2" s="73"/>
      <c r="E2" s="73"/>
      <c r="F2" s="73"/>
      <c r="G2" s="73"/>
      <c r="H2" s="73"/>
    </row>
    <row r="3" spans="1:8" x14ac:dyDescent="0.3">
      <c r="A3" s="2"/>
      <c r="B3" s="2"/>
      <c r="C3" s="2"/>
      <c r="D3" s="2"/>
      <c r="E3" s="2"/>
      <c r="F3" s="2"/>
      <c r="G3" s="2"/>
      <c r="H3" s="2"/>
    </row>
    <row r="4" spans="1:8" x14ac:dyDescent="0.3">
      <c r="A4" s="3" t="s">
        <v>253</v>
      </c>
      <c r="B4" s="4"/>
      <c r="C4" s="4"/>
      <c r="D4" s="4"/>
      <c r="E4" s="4"/>
      <c r="F4" s="4"/>
      <c r="G4" s="4"/>
      <c r="H4" s="2"/>
    </row>
    <row r="5" spans="1:8" ht="30" customHeight="1" x14ac:dyDescent="0.3">
      <c r="A5" s="34" t="s">
        <v>254</v>
      </c>
      <c r="B5" s="34" t="s">
        <v>255</v>
      </c>
      <c r="C5" s="34" t="s">
        <v>233</v>
      </c>
      <c r="D5" s="34" t="s">
        <v>256</v>
      </c>
      <c r="E5" s="34" t="s">
        <v>257</v>
      </c>
      <c r="F5" s="34" t="s">
        <v>258</v>
      </c>
      <c r="G5" s="34" t="s">
        <v>259</v>
      </c>
      <c r="H5" s="2"/>
    </row>
    <row r="6" spans="1:8" x14ac:dyDescent="0.3">
      <c r="A6" s="43" t="s">
        <v>260</v>
      </c>
      <c r="B6" s="44" t="s">
        <v>243</v>
      </c>
      <c r="C6" s="44" t="s">
        <v>243</v>
      </c>
      <c r="D6" s="44" t="s">
        <v>243</v>
      </c>
      <c r="E6" s="39">
        <f>Inputs!$B$100</f>
        <v>0.68</v>
      </c>
      <c r="F6" s="39">
        <f>Inputs!$B$100</f>
        <v>0.68</v>
      </c>
      <c r="G6" s="41"/>
      <c r="H6" s="2"/>
    </row>
    <row r="7" spans="1:8" x14ac:dyDescent="0.3">
      <c r="A7" s="43" t="s">
        <v>261</v>
      </c>
      <c r="B7" s="45">
        <f>Inputs!$B$38</f>
        <v>2</v>
      </c>
      <c r="C7" s="36">
        <f>Inputs!$B$10</f>
        <v>35</v>
      </c>
      <c r="D7" s="39">
        <f>Inputs!$B$29</f>
        <v>0.47619047619047616</v>
      </c>
      <c r="E7" s="39">
        <f>B7/D7</f>
        <v>4.2</v>
      </c>
      <c r="F7" s="39">
        <f>E7</f>
        <v>4.2</v>
      </c>
      <c r="G7" s="41" t="s">
        <v>262</v>
      </c>
      <c r="H7" s="2"/>
    </row>
    <row r="8" spans="1:8" ht="22.8" x14ac:dyDescent="0.3">
      <c r="A8" s="43" t="s">
        <v>263</v>
      </c>
      <c r="B8" s="45">
        <f>Inputs!$B$39</f>
        <v>1.5</v>
      </c>
      <c r="C8" s="36">
        <f>Inputs!$B$10</f>
        <v>35</v>
      </c>
      <c r="D8" s="39">
        <f>Inputs!$B$29</f>
        <v>0.47619047619047616</v>
      </c>
      <c r="E8" s="39">
        <f>B8/D8</f>
        <v>3.1500000000000004</v>
      </c>
      <c r="F8" s="39">
        <f>E8</f>
        <v>3.1500000000000004</v>
      </c>
      <c r="G8" s="41" t="s">
        <v>264</v>
      </c>
      <c r="H8" s="2"/>
    </row>
    <row r="9" spans="1:8" x14ac:dyDescent="0.3">
      <c r="A9" s="43" t="s">
        <v>265</v>
      </c>
      <c r="B9" s="45">
        <f>Inputs!$B$43</f>
        <v>1.5</v>
      </c>
      <c r="C9" s="36">
        <f>Inputs!$B$10</f>
        <v>35</v>
      </c>
      <c r="D9" s="39">
        <f>Inputs!$B$29</f>
        <v>0.47619047619047616</v>
      </c>
      <c r="E9" s="39">
        <f>B9/D9</f>
        <v>3.1500000000000004</v>
      </c>
      <c r="F9" s="46">
        <f>B9/Inputs!$B$94</f>
        <v>4.7770700636942673E-3</v>
      </c>
      <c r="G9" s="41" t="s">
        <v>266</v>
      </c>
      <c r="H9" s="2"/>
    </row>
    <row r="10" spans="1:8" x14ac:dyDescent="0.3">
      <c r="A10" s="43" t="s">
        <v>267</v>
      </c>
      <c r="B10" s="45">
        <f>Inputs!$B$44</f>
        <v>4.5</v>
      </c>
      <c r="C10" s="36">
        <f>Inputs!$B$11</f>
        <v>30</v>
      </c>
      <c r="D10" s="39">
        <f>Inputs!$B$30</f>
        <v>0.47619047619047616</v>
      </c>
      <c r="E10" s="39">
        <f>B10/D10</f>
        <v>9.4500000000000011</v>
      </c>
      <c r="F10" s="46">
        <f>B10/Inputs!$B$94</f>
        <v>1.4331210191082803E-2</v>
      </c>
      <c r="G10" s="41" t="s">
        <v>268</v>
      </c>
      <c r="H10" s="2"/>
    </row>
    <row r="11" spans="1:8" x14ac:dyDescent="0.3">
      <c r="A11" s="43" t="s">
        <v>269</v>
      </c>
      <c r="B11" s="45">
        <f>Inputs!$B$42</f>
        <v>2</v>
      </c>
      <c r="C11" s="36">
        <f>Inputs!$B$10</f>
        <v>35</v>
      </c>
      <c r="D11" s="39">
        <f>Inputs!$B$29</f>
        <v>0.47619047619047616</v>
      </c>
      <c r="E11" s="39">
        <f>B11/D11</f>
        <v>4.2</v>
      </c>
      <c r="F11" s="39">
        <f>E11</f>
        <v>4.2</v>
      </c>
      <c r="G11" s="41" t="s">
        <v>270</v>
      </c>
      <c r="H11" s="2"/>
    </row>
    <row r="12" spans="1:8" x14ac:dyDescent="0.3">
      <c r="A12" s="43" t="s">
        <v>271</v>
      </c>
      <c r="B12" s="44" t="s">
        <v>243</v>
      </c>
      <c r="C12" s="44" t="s">
        <v>243</v>
      </c>
      <c r="D12" s="44" t="s">
        <v>243</v>
      </c>
      <c r="E12" s="39">
        <f>Inputs!$B$101</f>
        <v>0.17</v>
      </c>
      <c r="F12" s="39">
        <f>Inputs!$B$101</f>
        <v>0.17</v>
      </c>
      <c r="G12" s="41"/>
      <c r="H12" s="2"/>
    </row>
    <row r="13" spans="1:8" x14ac:dyDescent="0.3">
      <c r="A13" s="47" t="s">
        <v>272</v>
      </c>
      <c r="B13" s="48">
        <f>SUM(B6:B12)</f>
        <v>11.5</v>
      </c>
      <c r="C13" s="43"/>
      <c r="D13" s="43"/>
      <c r="E13" s="48">
        <f>SUM(E6:E12)</f>
        <v>25.000000000000004</v>
      </c>
      <c r="F13" s="48">
        <f>SUM(F6:F12)</f>
        <v>12.419108280254777</v>
      </c>
      <c r="G13" s="41" t="s">
        <v>273</v>
      </c>
      <c r="H13" s="2"/>
    </row>
    <row r="14" spans="1:8" x14ac:dyDescent="0.3">
      <c r="A14" s="47" t="s">
        <v>274</v>
      </c>
      <c r="B14" s="43"/>
      <c r="C14" s="43"/>
      <c r="D14" s="43"/>
      <c r="E14" s="49">
        <f>1/E13</f>
        <v>3.9999999999999994E-2</v>
      </c>
      <c r="F14" s="49">
        <f>1/F13</f>
        <v>8.0521079085034364E-2</v>
      </c>
      <c r="G14" s="44" t="s">
        <v>207</v>
      </c>
      <c r="H14" s="2"/>
    </row>
    <row r="15" spans="1:8" x14ac:dyDescent="0.3">
      <c r="A15" s="2"/>
      <c r="B15" s="2"/>
      <c r="C15" s="2"/>
      <c r="D15" s="2"/>
      <c r="E15" s="2"/>
      <c r="F15" s="2"/>
      <c r="G15" s="2"/>
      <c r="H15" s="2"/>
    </row>
    <row r="16" spans="1:8" x14ac:dyDescent="0.3">
      <c r="A16" s="3" t="s">
        <v>275</v>
      </c>
      <c r="B16" s="4"/>
      <c r="C16" s="4"/>
      <c r="D16" s="4"/>
      <c r="E16" s="4"/>
      <c r="F16" s="4"/>
      <c r="G16" s="4"/>
      <c r="H16" s="2"/>
    </row>
    <row r="17" spans="1:8" x14ac:dyDescent="0.3">
      <c r="A17" s="5" t="s">
        <v>276</v>
      </c>
      <c r="B17" s="27">
        <f>Inputs!$B$63</f>
        <v>0.15342881944444442</v>
      </c>
      <c r="C17" s="7" t="s">
        <v>19</v>
      </c>
      <c r="D17" s="8" t="s">
        <v>277</v>
      </c>
      <c r="E17" s="2"/>
      <c r="F17" s="2"/>
      <c r="G17" s="2"/>
      <c r="H17" s="2"/>
    </row>
    <row r="18" spans="1:8" x14ac:dyDescent="0.3">
      <c r="A18" s="5" t="s">
        <v>278</v>
      </c>
      <c r="B18" s="29">
        <f>Inputs!$B$64</f>
        <v>5.3759799444443868E-3</v>
      </c>
      <c r="C18" s="7" t="s">
        <v>19</v>
      </c>
      <c r="D18" s="8" t="s">
        <v>277</v>
      </c>
      <c r="E18" s="2"/>
      <c r="F18" s="2"/>
      <c r="G18" s="2"/>
      <c r="H18" s="2"/>
    </row>
    <row r="19" spans="1:8" ht="136.80000000000001" x14ac:dyDescent="0.3">
      <c r="A19" s="5" t="s">
        <v>279</v>
      </c>
      <c r="B19" s="32">
        <f>$B$17/$F$13+(1-$B$17)/$E$13</f>
        <v>4.6217101326631788E-2</v>
      </c>
      <c r="C19" s="7" t="s">
        <v>207</v>
      </c>
      <c r="D19" s="8" t="s">
        <v>280</v>
      </c>
      <c r="E19" s="2"/>
      <c r="F19" s="2"/>
      <c r="G19" s="2"/>
      <c r="H19" s="2"/>
    </row>
    <row r="20" spans="1:8" x14ac:dyDescent="0.3">
      <c r="A20" s="5" t="s">
        <v>281</v>
      </c>
      <c r="B20" s="20">
        <f>1/$B$19</f>
        <v>21.637012519081711</v>
      </c>
      <c r="C20" s="7" t="s">
        <v>141</v>
      </c>
      <c r="D20" s="8"/>
      <c r="E20" s="2"/>
      <c r="F20" s="2"/>
      <c r="G20" s="2"/>
      <c r="H20" s="2"/>
    </row>
    <row r="21" spans="1:8" ht="136.80000000000001" x14ac:dyDescent="0.3">
      <c r="A21" s="5" t="s">
        <v>282</v>
      </c>
      <c r="B21" s="20">
        <f>($E$13-(E9+E10))+1/($B$18*Inputs!$B$94/B9+(1-$B$18)*D9/B9)+1/($B$18*Inputs!$B$94/B10+(1-$B$18)*D10/B10)</f>
        <v>15.175608449213422</v>
      </c>
      <c r="C21" s="7" t="s">
        <v>141</v>
      </c>
      <c r="D21" s="8" t="s">
        <v>283</v>
      </c>
      <c r="E21" s="2"/>
      <c r="F21" s="2"/>
      <c r="G21" s="2"/>
      <c r="H21" s="2"/>
    </row>
    <row r="22" spans="1:8" x14ac:dyDescent="0.3">
      <c r="A22" s="5" t="s">
        <v>284</v>
      </c>
      <c r="B22" s="32">
        <f>1/$B$21</f>
        <v>6.5895216217958741E-2</v>
      </c>
      <c r="C22" s="7" t="s">
        <v>207</v>
      </c>
      <c r="D22" s="8"/>
      <c r="E22" s="2"/>
      <c r="F22" s="2"/>
      <c r="G22" s="2"/>
      <c r="H22" s="2"/>
    </row>
    <row r="23" spans="1:8" ht="57" x14ac:dyDescent="0.3">
      <c r="A23" s="13" t="s">
        <v>285</v>
      </c>
      <c r="B23" s="50">
        <f>CHOOSE(Inputs!$B$6,$B$19,$B$22,($B$19+$B$22)/2)</f>
        <v>5.6056158772295264E-2</v>
      </c>
      <c r="C23" s="7" t="s">
        <v>207</v>
      </c>
      <c r="D23" s="8" t="s">
        <v>286</v>
      </c>
      <c r="E23" s="2"/>
      <c r="F23" s="2"/>
      <c r="G23" s="2"/>
      <c r="H23" s="2"/>
    </row>
    <row r="24" spans="1:8" ht="22.8" x14ac:dyDescent="0.3">
      <c r="A24" s="13" t="s">
        <v>287</v>
      </c>
      <c r="B24" s="51">
        <f>1/$B$23</f>
        <v>17.839253025917856</v>
      </c>
      <c r="C24" s="7" t="s">
        <v>141</v>
      </c>
      <c r="D24" s="8" t="s">
        <v>288</v>
      </c>
      <c r="E24" s="2"/>
      <c r="F24" s="2"/>
      <c r="G24" s="2"/>
      <c r="H24" s="2"/>
    </row>
    <row r="25" spans="1:8" x14ac:dyDescent="0.3">
      <c r="A25" s="5" t="s">
        <v>289</v>
      </c>
      <c r="B25" s="20">
        <f>$E$13-$B$24</f>
        <v>7.1607469740821479</v>
      </c>
      <c r="C25" s="7" t="s">
        <v>141</v>
      </c>
      <c r="D25" s="8" t="s">
        <v>290</v>
      </c>
      <c r="E25" s="2"/>
      <c r="F25" s="2"/>
      <c r="G25" s="2"/>
      <c r="H25" s="2"/>
    </row>
    <row r="26" spans="1:8" x14ac:dyDescent="0.3">
      <c r="A26" s="5" t="s">
        <v>291</v>
      </c>
      <c r="B26" s="27">
        <f>$B$25/$E$13</f>
        <v>0.28642987896328587</v>
      </c>
      <c r="C26" s="7" t="s">
        <v>19</v>
      </c>
      <c r="D26" s="8"/>
      <c r="E26" s="2"/>
      <c r="F26" s="2"/>
      <c r="G26" s="2"/>
      <c r="H26" s="2"/>
    </row>
    <row r="27" spans="1:8" x14ac:dyDescent="0.3">
      <c r="A27" s="2"/>
      <c r="B27" s="2"/>
      <c r="C27" s="2"/>
      <c r="D27" s="2"/>
      <c r="E27" s="2"/>
      <c r="F27" s="2"/>
      <c r="G27" s="2"/>
      <c r="H27" s="2"/>
    </row>
    <row r="28" spans="1:8" ht="79.95" customHeight="1" x14ac:dyDescent="0.3">
      <c r="A28" s="72" t="s">
        <v>292</v>
      </c>
      <c r="B28" s="73"/>
      <c r="C28" s="73"/>
      <c r="D28" s="73"/>
      <c r="E28" s="73"/>
      <c r="F28" s="73"/>
      <c r="G28" s="73"/>
      <c r="H28" s="2"/>
    </row>
    <row r="29" spans="1:8" x14ac:dyDescent="0.3">
      <c r="A29" s="3" t="s">
        <v>293</v>
      </c>
      <c r="B29" s="4"/>
      <c r="C29" s="4"/>
      <c r="D29" s="4"/>
      <c r="E29" s="4"/>
      <c r="F29" s="4"/>
      <c r="G29" s="4"/>
      <c r="H29" s="2"/>
    </row>
    <row r="30" spans="1:8" x14ac:dyDescent="0.3">
      <c r="A30" s="5" t="s">
        <v>76</v>
      </c>
      <c r="B30" s="20">
        <f>Inputs!$B$45</f>
        <v>11.5</v>
      </c>
      <c r="C30" s="7" t="s">
        <v>62</v>
      </c>
      <c r="D30" s="8"/>
      <c r="E30" s="2"/>
      <c r="F30" s="2"/>
      <c r="G30" s="2"/>
      <c r="H30" s="2"/>
    </row>
    <row r="31" spans="1:8" x14ac:dyDescent="0.3">
      <c r="A31" s="5" t="s">
        <v>294</v>
      </c>
      <c r="B31" s="22">
        <f>Inputs!$B$46+Inputs!$B$97</f>
        <v>33.166666666666671</v>
      </c>
      <c r="C31" s="7" t="s">
        <v>79</v>
      </c>
      <c r="D31" s="8"/>
      <c r="E31" s="2"/>
      <c r="F31" s="2"/>
      <c r="G31" s="2"/>
      <c r="H31" s="2"/>
    </row>
    <row r="32" spans="1:8" x14ac:dyDescent="0.3">
      <c r="A32" s="5" t="s">
        <v>295</v>
      </c>
      <c r="B32" s="20">
        <f>$E$13</f>
        <v>25.000000000000004</v>
      </c>
      <c r="C32" s="7" t="s">
        <v>141</v>
      </c>
      <c r="D32" s="8"/>
      <c r="E32" s="2"/>
      <c r="F32" s="2"/>
      <c r="G32" s="2"/>
      <c r="H32" s="2"/>
    </row>
    <row r="33" spans="1:8" x14ac:dyDescent="0.3">
      <c r="A33" s="13" t="s">
        <v>296</v>
      </c>
      <c r="B33" s="21">
        <f>$B$24</f>
        <v>17.839253025917856</v>
      </c>
      <c r="C33" s="7" t="s">
        <v>141</v>
      </c>
      <c r="D33" s="8"/>
      <c r="E33" s="2"/>
      <c r="F33" s="2"/>
      <c r="G33" s="2"/>
      <c r="H33" s="2"/>
    </row>
    <row r="34" spans="1:8" x14ac:dyDescent="0.3">
      <c r="A34" s="13" t="s">
        <v>297</v>
      </c>
      <c r="B34" s="52">
        <f>$B$23</f>
        <v>5.6056158772295264E-2</v>
      </c>
      <c r="C34" s="7" t="s">
        <v>207</v>
      </c>
      <c r="D34" s="8"/>
      <c r="E34" s="2"/>
      <c r="F34" s="2"/>
      <c r="G34" s="2"/>
      <c r="H34" s="2"/>
    </row>
    <row r="35" spans="1:8" ht="57" x14ac:dyDescent="0.3">
      <c r="A35" s="5" t="s">
        <v>298</v>
      </c>
      <c r="B35" s="20">
        <f>$B$24/Inputs!$B$45</f>
        <v>1.5512393935580744</v>
      </c>
      <c r="C35" s="7" t="s">
        <v>299</v>
      </c>
      <c r="D35" s="8" t="s">
        <v>300</v>
      </c>
      <c r="E35" s="2"/>
      <c r="F35" s="2"/>
      <c r="G35" s="2"/>
      <c r="H35" s="2"/>
    </row>
  </sheetData>
  <mergeCells count="2">
    <mergeCell ref="A2:H2"/>
    <mergeCell ref="A28:G2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1"/>
  <sheetViews>
    <sheetView showGridLines="0" workbookViewId="0">
      <pane ySplit="3" topLeftCell="A4" activePane="bottomLeft" state="frozen"/>
      <selection pane="bottomLeft"/>
    </sheetView>
  </sheetViews>
  <sheetFormatPr defaultRowHeight="14.4" x14ac:dyDescent="0.3"/>
  <cols>
    <col min="1" max="1" width="58" customWidth="1"/>
    <col min="2" max="2" width="14" customWidth="1"/>
    <col min="3" max="3" width="12" customWidth="1"/>
    <col min="4" max="4" width="18" customWidth="1"/>
    <col min="5" max="6" width="20" customWidth="1"/>
    <col min="7" max="7" width="70" customWidth="1"/>
  </cols>
  <sheetData>
    <row r="1" spans="1:8" ht="17.399999999999999" x14ac:dyDescent="0.3">
      <c r="A1" s="1" t="s">
        <v>301</v>
      </c>
      <c r="B1" s="2"/>
      <c r="C1" s="2"/>
      <c r="D1" s="2"/>
      <c r="E1" s="2"/>
      <c r="F1" s="2"/>
      <c r="G1" s="2"/>
      <c r="H1" s="2"/>
    </row>
    <row r="2" spans="1:8" ht="43.95" customHeight="1" x14ac:dyDescent="0.3">
      <c r="A2" s="74" t="s">
        <v>302</v>
      </c>
      <c r="B2" s="73"/>
      <c r="C2" s="73"/>
      <c r="D2" s="73"/>
      <c r="E2" s="73"/>
      <c r="F2" s="73"/>
      <c r="G2" s="73"/>
      <c r="H2" s="73"/>
    </row>
    <row r="3" spans="1:8" x14ac:dyDescent="0.3">
      <c r="A3" s="2"/>
      <c r="B3" s="2"/>
      <c r="C3" s="2"/>
      <c r="D3" s="2"/>
      <c r="E3" s="2"/>
      <c r="F3" s="2"/>
      <c r="G3" s="2"/>
      <c r="H3" s="2"/>
    </row>
    <row r="4" spans="1:8" x14ac:dyDescent="0.3">
      <c r="A4" s="3" t="s">
        <v>303</v>
      </c>
      <c r="B4" s="4"/>
      <c r="C4" s="4"/>
      <c r="D4" s="4"/>
      <c r="E4" s="4"/>
      <c r="F4" s="4"/>
      <c r="G4" s="4"/>
      <c r="H4" s="2"/>
    </row>
    <row r="5" spans="1:8" ht="30" customHeight="1" x14ac:dyDescent="0.3">
      <c r="A5" s="34" t="s">
        <v>254</v>
      </c>
      <c r="B5" s="34" t="s">
        <v>255</v>
      </c>
      <c r="C5" s="34" t="s">
        <v>233</v>
      </c>
      <c r="D5" s="34" t="s">
        <v>256</v>
      </c>
      <c r="E5" s="34" t="s">
        <v>257</v>
      </c>
      <c r="F5" s="34" t="s">
        <v>258</v>
      </c>
      <c r="G5" s="34" t="s">
        <v>259</v>
      </c>
      <c r="H5" s="2"/>
    </row>
    <row r="6" spans="1:8" x14ac:dyDescent="0.3">
      <c r="A6" s="43" t="s">
        <v>304</v>
      </c>
      <c r="B6" s="44" t="s">
        <v>243</v>
      </c>
      <c r="C6" s="44" t="s">
        <v>243</v>
      </c>
      <c r="D6" s="44" t="s">
        <v>243</v>
      </c>
      <c r="E6" s="39">
        <f>Inputs!$B$102</f>
        <v>0.61</v>
      </c>
      <c r="F6" s="39">
        <f>Inputs!$B$102</f>
        <v>0.61</v>
      </c>
      <c r="G6" s="41"/>
      <c r="H6" s="2"/>
    </row>
    <row r="7" spans="1:8" x14ac:dyDescent="0.3">
      <c r="A7" s="43" t="s">
        <v>119</v>
      </c>
      <c r="B7" s="45">
        <f>Inputs!$B$68</f>
        <v>2</v>
      </c>
      <c r="C7" s="36">
        <f>Inputs!$B$78</f>
        <v>35</v>
      </c>
      <c r="D7" s="39">
        <f>Inputs!$B$29</f>
        <v>0.47619047619047616</v>
      </c>
      <c r="E7" s="39">
        <f>B7/D7</f>
        <v>4.2</v>
      </c>
      <c r="F7" s="39">
        <f>E7</f>
        <v>4.2</v>
      </c>
      <c r="G7" s="41" t="s">
        <v>305</v>
      </c>
      <c r="H7" s="2"/>
    </row>
    <row r="8" spans="1:8" x14ac:dyDescent="0.3">
      <c r="A8" s="43" t="s">
        <v>306</v>
      </c>
      <c r="B8" s="45">
        <f>Inputs!$B$69</f>
        <v>1.5</v>
      </c>
      <c r="C8" s="36">
        <f>Inputs!$B$78</f>
        <v>35</v>
      </c>
      <c r="D8" s="39">
        <f>Inputs!$B$29</f>
        <v>0.47619047619047616</v>
      </c>
      <c r="E8" s="39">
        <f>B8/D8</f>
        <v>3.1500000000000004</v>
      </c>
      <c r="F8" s="39">
        <f>E8</f>
        <v>3.1500000000000004</v>
      </c>
      <c r="G8" s="41" t="s">
        <v>307</v>
      </c>
      <c r="H8" s="2"/>
    </row>
    <row r="9" spans="1:8" x14ac:dyDescent="0.3">
      <c r="A9" s="43" t="s">
        <v>308</v>
      </c>
      <c r="B9" s="45">
        <f>Inputs!$B$72</f>
        <v>8</v>
      </c>
      <c r="C9" s="36">
        <f>Inputs!$B$78</f>
        <v>35</v>
      </c>
      <c r="D9" s="39">
        <f>Inputs!$B$29</f>
        <v>0.47619047619047616</v>
      </c>
      <c r="E9" s="39">
        <f>B9/D9</f>
        <v>16.8</v>
      </c>
      <c r="F9" s="46">
        <f>B9/Inputs!$B$94</f>
        <v>2.5477707006369428E-2</v>
      </c>
      <c r="G9" s="41" t="s">
        <v>309</v>
      </c>
      <c r="H9" s="2"/>
    </row>
    <row r="10" spans="1:8" x14ac:dyDescent="0.3">
      <c r="A10" s="43" t="s">
        <v>310</v>
      </c>
      <c r="B10" s="45">
        <f>Inputs!$B$70</f>
        <v>2</v>
      </c>
      <c r="C10" s="36">
        <f>Inputs!$B$78</f>
        <v>35</v>
      </c>
      <c r="D10" s="39">
        <f>Inputs!$B$29</f>
        <v>0.47619047619047616</v>
      </c>
      <c r="E10" s="39">
        <f>B10/D10</f>
        <v>4.2</v>
      </c>
      <c r="F10" s="39">
        <f>E10</f>
        <v>4.2</v>
      </c>
      <c r="G10" s="41" t="s">
        <v>311</v>
      </c>
      <c r="H10" s="2"/>
    </row>
    <row r="11" spans="1:8" x14ac:dyDescent="0.3">
      <c r="A11" s="43" t="s">
        <v>312</v>
      </c>
      <c r="B11" s="44" t="s">
        <v>243</v>
      </c>
      <c r="C11" s="44" t="s">
        <v>243</v>
      </c>
      <c r="D11" s="44" t="s">
        <v>243</v>
      </c>
      <c r="E11" s="39">
        <f>Inputs!$B$79</f>
        <v>0</v>
      </c>
      <c r="F11" s="39">
        <f>Inputs!$B$79</f>
        <v>0</v>
      </c>
      <c r="G11" s="41"/>
      <c r="H11" s="2"/>
    </row>
    <row r="12" spans="1:8" x14ac:dyDescent="0.3">
      <c r="A12" s="43" t="s">
        <v>271</v>
      </c>
      <c r="B12" s="44" t="s">
        <v>243</v>
      </c>
      <c r="C12" s="44" t="s">
        <v>243</v>
      </c>
      <c r="D12" s="44" t="s">
        <v>243</v>
      </c>
      <c r="E12" s="39">
        <f>Inputs!$B$101</f>
        <v>0.17</v>
      </c>
      <c r="F12" s="39">
        <f>Inputs!$B$101</f>
        <v>0.17</v>
      </c>
      <c r="G12" s="41"/>
      <c r="H12" s="2"/>
    </row>
    <row r="13" spans="1:8" x14ac:dyDescent="0.3">
      <c r="A13" s="47" t="s">
        <v>272</v>
      </c>
      <c r="B13" s="48">
        <f>SUM(B6:B12)</f>
        <v>13.5</v>
      </c>
      <c r="C13" s="43"/>
      <c r="D13" s="43"/>
      <c r="E13" s="48">
        <f>SUM(E6:E12)</f>
        <v>29.130000000000003</v>
      </c>
      <c r="F13" s="48">
        <f>SUM(F6:F12)</f>
        <v>12.35547770700637</v>
      </c>
      <c r="G13" s="41" t="s">
        <v>273</v>
      </c>
      <c r="H13" s="2"/>
    </row>
    <row r="14" spans="1:8" x14ac:dyDescent="0.3">
      <c r="A14" s="47" t="s">
        <v>274</v>
      </c>
      <c r="B14" s="43"/>
      <c r="C14" s="43"/>
      <c r="D14" s="43"/>
      <c r="E14" s="49">
        <f>1/E13</f>
        <v>3.4328870580157912E-2</v>
      </c>
      <c r="F14" s="49">
        <f>1/F13</f>
        <v>8.0935761749862098E-2</v>
      </c>
      <c r="G14" s="44" t="s">
        <v>207</v>
      </c>
      <c r="H14" s="2"/>
    </row>
    <row r="15" spans="1:8" x14ac:dyDescent="0.3">
      <c r="A15" s="2"/>
      <c r="B15" s="2"/>
      <c r="C15" s="2"/>
      <c r="D15" s="2"/>
      <c r="E15" s="2"/>
      <c r="F15" s="2"/>
      <c r="G15" s="2"/>
      <c r="H15" s="2"/>
    </row>
    <row r="16" spans="1:8" x14ac:dyDescent="0.3">
      <c r="A16" s="3" t="s">
        <v>275</v>
      </c>
      <c r="B16" s="4"/>
      <c r="C16" s="4"/>
      <c r="D16" s="4"/>
      <c r="E16" s="4"/>
      <c r="F16" s="4"/>
      <c r="G16" s="4"/>
      <c r="H16" s="2"/>
    </row>
    <row r="17" spans="1:8" x14ac:dyDescent="0.3">
      <c r="A17" s="5" t="s">
        <v>276</v>
      </c>
      <c r="B17" s="27">
        <f>Inputs!$B$76/Inputs!$B$77</f>
        <v>0.1015625</v>
      </c>
      <c r="C17" s="7" t="s">
        <v>19</v>
      </c>
      <c r="D17" s="8" t="s">
        <v>277</v>
      </c>
      <c r="E17" s="2"/>
      <c r="F17" s="2"/>
      <c r="G17" s="2"/>
      <c r="H17" s="2"/>
    </row>
    <row r="18" spans="1:8" x14ac:dyDescent="0.3">
      <c r="A18" s="5" t="s">
        <v>278</v>
      </c>
      <c r="B18" s="29">
        <f>Inputs!$B$73/Inputs!$B$77</f>
        <v>4.4562500000000001E-3</v>
      </c>
      <c r="C18" s="7" t="s">
        <v>19</v>
      </c>
      <c r="D18" s="8" t="s">
        <v>277</v>
      </c>
      <c r="E18" s="2"/>
      <c r="F18" s="2"/>
      <c r="G18" s="2"/>
      <c r="H18" s="2"/>
    </row>
    <row r="19" spans="1:8" ht="136.80000000000001" x14ac:dyDescent="0.3">
      <c r="A19" s="5" t="s">
        <v>279</v>
      </c>
      <c r="B19" s="32">
        <f>$B$17/$F$13+(1-$B$17)/$E$13</f>
        <v>3.9062382964580991E-2</v>
      </c>
      <c r="C19" s="7" t="s">
        <v>207</v>
      </c>
      <c r="D19" s="8" t="s">
        <v>280</v>
      </c>
      <c r="E19" s="2"/>
      <c r="F19" s="2"/>
      <c r="G19" s="2"/>
      <c r="H19" s="2"/>
    </row>
    <row r="20" spans="1:8" x14ac:dyDescent="0.3">
      <c r="A20" s="5" t="s">
        <v>281</v>
      </c>
      <c r="B20" s="20">
        <f>1/$B$19</f>
        <v>25.600076700562006</v>
      </c>
      <c r="C20" s="7" t="s">
        <v>141</v>
      </c>
      <c r="D20" s="8"/>
      <c r="E20" s="2"/>
      <c r="F20" s="2"/>
      <c r="G20" s="2"/>
      <c r="H20" s="2"/>
    </row>
    <row r="21" spans="1:8" ht="136.80000000000001" x14ac:dyDescent="0.3">
      <c r="A21" s="5" t="s">
        <v>282</v>
      </c>
      <c r="B21" s="20">
        <f>($E$13-(E9))+1/($B$18*Inputs!$B$94/B9+(1-$B$18)*D9/B9)</f>
        <v>16.600468061093114</v>
      </c>
      <c r="C21" s="7" t="s">
        <v>141</v>
      </c>
      <c r="D21" s="8" t="s">
        <v>283</v>
      </c>
      <c r="E21" s="2"/>
      <c r="F21" s="2"/>
      <c r="G21" s="2"/>
      <c r="H21" s="2"/>
    </row>
    <row r="22" spans="1:8" x14ac:dyDescent="0.3">
      <c r="A22" s="5" t="s">
        <v>284</v>
      </c>
      <c r="B22" s="32">
        <f>1/$B$21</f>
        <v>6.0239265321905121E-2</v>
      </c>
      <c r="C22" s="7" t="s">
        <v>207</v>
      </c>
      <c r="D22" s="8"/>
      <c r="E22" s="2"/>
      <c r="F22" s="2"/>
      <c r="G22" s="2"/>
      <c r="H22" s="2"/>
    </row>
    <row r="23" spans="1:8" ht="57" x14ac:dyDescent="0.3">
      <c r="A23" s="13" t="s">
        <v>285</v>
      </c>
      <c r="B23" s="50">
        <f>CHOOSE(Inputs!$B$6,$B$19,$B$22,($B$19+$B$22)/2)</f>
        <v>4.9650824143243052E-2</v>
      </c>
      <c r="C23" s="7" t="s">
        <v>207</v>
      </c>
      <c r="D23" s="8" t="s">
        <v>286</v>
      </c>
      <c r="E23" s="2"/>
      <c r="F23" s="2"/>
      <c r="G23" s="2"/>
      <c r="H23" s="2"/>
    </row>
    <row r="24" spans="1:8" ht="22.8" x14ac:dyDescent="0.3">
      <c r="A24" s="13" t="s">
        <v>287</v>
      </c>
      <c r="B24" s="51">
        <f>1/$B$23</f>
        <v>20.140652592492554</v>
      </c>
      <c r="C24" s="7" t="s">
        <v>141</v>
      </c>
      <c r="D24" s="8" t="s">
        <v>288</v>
      </c>
      <c r="E24" s="2"/>
      <c r="F24" s="2"/>
      <c r="G24" s="2"/>
      <c r="H24" s="2"/>
    </row>
    <row r="25" spans="1:8" x14ac:dyDescent="0.3">
      <c r="A25" s="5" t="s">
        <v>289</v>
      </c>
      <c r="B25" s="20">
        <f>$E$13-$B$24</f>
        <v>8.9893474075074487</v>
      </c>
      <c r="C25" s="7" t="s">
        <v>141</v>
      </c>
      <c r="D25" s="8" t="s">
        <v>290</v>
      </c>
      <c r="E25" s="2"/>
      <c r="F25" s="2"/>
      <c r="G25" s="2"/>
      <c r="H25" s="2"/>
    </row>
    <row r="26" spans="1:8" x14ac:dyDescent="0.3">
      <c r="A26" s="5" t="s">
        <v>291</v>
      </c>
      <c r="B26" s="27">
        <f>$B$25/$E$13</f>
        <v>0.30859414375240124</v>
      </c>
      <c r="C26" s="7" t="s">
        <v>19</v>
      </c>
      <c r="D26" s="8"/>
      <c r="E26" s="2"/>
      <c r="F26" s="2"/>
      <c r="G26" s="2"/>
      <c r="H26" s="2"/>
    </row>
    <row r="27" spans="1:8" x14ac:dyDescent="0.3">
      <c r="A27" s="2"/>
      <c r="B27" s="2"/>
      <c r="C27" s="2"/>
      <c r="D27" s="2"/>
      <c r="E27" s="2"/>
      <c r="F27" s="2"/>
      <c r="G27" s="2"/>
      <c r="H27" s="2"/>
    </row>
    <row r="28" spans="1:8" ht="79.95" customHeight="1" x14ac:dyDescent="0.3">
      <c r="A28" s="72" t="s">
        <v>313</v>
      </c>
      <c r="B28" s="73"/>
      <c r="C28" s="73"/>
      <c r="D28" s="73"/>
      <c r="E28" s="73"/>
      <c r="F28" s="73"/>
      <c r="G28" s="73"/>
      <c r="H28" s="2"/>
    </row>
    <row r="29" spans="1:8" x14ac:dyDescent="0.3">
      <c r="A29" s="3" t="s">
        <v>314</v>
      </c>
      <c r="B29" s="4"/>
      <c r="C29" s="4"/>
      <c r="D29" s="4"/>
      <c r="E29" s="4"/>
      <c r="F29" s="4"/>
      <c r="G29" s="4"/>
      <c r="H29" s="2"/>
    </row>
    <row r="30" spans="1:8" ht="30" customHeight="1" x14ac:dyDescent="0.3">
      <c r="A30" s="34" t="s">
        <v>254</v>
      </c>
      <c r="B30" s="34" t="s">
        <v>255</v>
      </c>
      <c r="C30" s="34" t="s">
        <v>233</v>
      </c>
      <c r="D30" s="34" t="s">
        <v>256</v>
      </c>
      <c r="E30" s="34" t="s">
        <v>257</v>
      </c>
      <c r="F30" s="34" t="s">
        <v>258</v>
      </c>
      <c r="G30" s="34" t="s">
        <v>259</v>
      </c>
      <c r="H30" s="2"/>
    </row>
    <row r="31" spans="1:8" x14ac:dyDescent="0.3">
      <c r="A31" s="43" t="s">
        <v>304</v>
      </c>
      <c r="B31" s="44" t="s">
        <v>243</v>
      </c>
      <c r="C31" s="44" t="s">
        <v>243</v>
      </c>
      <c r="D31" s="44" t="s">
        <v>243</v>
      </c>
      <c r="E31" s="39">
        <f>Inputs!$B$102</f>
        <v>0.61</v>
      </c>
      <c r="F31" s="39">
        <f>Inputs!$B$102</f>
        <v>0.61</v>
      </c>
      <c r="G31" s="41"/>
      <c r="H31" s="2"/>
    </row>
    <row r="32" spans="1:8" x14ac:dyDescent="0.3">
      <c r="A32" s="43" t="s">
        <v>119</v>
      </c>
      <c r="B32" s="45">
        <f>Inputs!$B$68</f>
        <v>2</v>
      </c>
      <c r="C32" s="36">
        <f>Inputs!$B$78</f>
        <v>35</v>
      </c>
      <c r="D32" s="39">
        <f>Inputs!$B$29</f>
        <v>0.47619047619047616</v>
      </c>
      <c r="E32" s="39">
        <f>B32/D32</f>
        <v>4.2</v>
      </c>
      <c r="F32" s="39">
        <f>E32</f>
        <v>4.2</v>
      </c>
      <c r="G32" s="41" t="s">
        <v>305</v>
      </c>
      <c r="H32" s="2"/>
    </row>
    <row r="33" spans="1:8" x14ac:dyDescent="0.3">
      <c r="A33" s="43" t="s">
        <v>306</v>
      </c>
      <c r="B33" s="45">
        <f>Inputs!$B$69</f>
        <v>1.5</v>
      </c>
      <c r="C33" s="36">
        <f>Inputs!$B$78</f>
        <v>35</v>
      </c>
      <c r="D33" s="39">
        <f>Inputs!$B$29</f>
        <v>0.47619047619047616</v>
      </c>
      <c r="E33" s="39">
        <f>B33/D33</f>
        <v>3.1500000000000004</v>
      </c>
      <c r="F33" s="39">
        <f>E33</f>
        <v>3.1500000000000004</v>
      </c>
      <c r="G33" s="41" t="s">
        <v>307</v>
      </c>
      <c r="H33" s="2"/>
    </row>
    <row r="34" spans="1:8" x14ac:dyDescent="0.3">
      <c r="A34" s="43" t="s">
        <v>315</v>
      </c>
      <c r="B34" s="45">
        <f>Inputs!$B$74</f>
        <v>6</v>
      </c>
      <c r="C34" s="36">
        <f>Inputs!$B$78</f>
        <v>35</v>
      </c>
      <c r="D34" s="39">
        <f>Inputs!$B$29</f>
        <v>0.47619047619047616</v>
      </c>
      <c r="E34" s="39">
        <f>B34/D34</f>
        <v>12.600000000000001</v>
      </c>
      <c r="F34" s="46">
        <f>B34/Inputs!$B$94</f>
        <v>1.9108280254777069E-2</v>
      </c>
      <c r="G34" s="41" t="s">
        <v>309</v>
      </c>
      <c r="H34" s="2"/>
    </row>
    <row r="35" spans="1:8" x14ac:dyDescent="0.3">
      <c r="A35" s="43" t="s">
        <v>310</v>
      </c>
      <c r="B35" s="45">
        <f>Inputs!$B$70</f>
        <v>2</v>
      </c>
      <c r="C35" s="36">
        <f>Inputs!$B$78</f>
        <v>35</v>
      </c>
      <c r="D35" s="39">
        <f>Inputs!$B$29</f>
        <v>0.47619047619047616</v>
      </c>
      <c r="E35" s="39">
        <f>B35/D35</f>
        <v>4.2</v>
      </c>
      <c r="F35" s="39">
        <f>E35</f>
        <v>4.2</v>
      </c>
      <c r="G35" s="41" t="s">
        <v>311</v>
      </c>
      <c r="H35" s="2"/>
    </row>
    <row r="36" spans="1:8" x14ac:dyDescent="0.3">
      <c r="A36" s="43" t="s">
        <v>312</v>
      </c>
      <c r="B36" s="44" t="s">
        <v>243</v>
      </c>
      <c r="C36" s="44" t="s">
        <v>243</v>
      </c>
      <c r="D36" s="44" t="s">
        <v>243</v>
      </c>
      <c r="E36" s="39">
        <f>Inputs!$B$79</f>
        <v>0</v>
      </c>
      <c r="F36" s="39">
        <f>Inputs!$B$79</f>
        <v>0</v>
      </c>
      <c r="G36" s="41"/>
      <c r="H36" s="2"/>
    </row>
    <row r="37" spans="1:8" x14ac:dyDescent="0.3">
      <c r="A37" s="43" t="s">
        <v>271</v>
      </c>
      <c r="B37" s="44" t="s">
        <v>243</v>
      </c>
      <c r="C37" s="44" t="s">
        <v>243</v>
      </c>
      <c r="D37" s="44" t="s">
        <v>243</v>
      </c>
      <c r="E37" s="39">
        <f>Inputs!$B$101</f>
        <v>0.17</v>
      </c>
      <c r="F37" s="39">
        <f>Inputs!$B$101</f>
        <v>0.17</v>
      </c>
      <c r="G37" s="41"/>
      <c r="H37" s="2"/>
    </row>
    <row r="38" spans="1:8" x14ac:dyDescent="0.3">
      <c r="A38" s="47" t="s">
        <v>272</v>
      </c>
      <c r="B38" s="48">
        <f>SUM(B31:B37)</f>
        <v>11.5</v>
      </c>
      <c r="C38" s="43"/>
      <c r="D38" s="43"/>
      <c r="E38" s="48">
        <f>SUM(E31:E37)</f>
        <v>24.930000000000003</v>
      </c>
      <c r="F38" s="48">
        <f>SUM(F31:F37)</f>
        <v>12.349108280254777</v>
      </c>
      <c r="G38" s="41" t="s">
        <v>273</v>
      </c>
      <c r="H38" s="2"/>
    </row>
    <row r="39" spans="1:8" x14ac:dyDescent="0.3">
      <c r="A39" s="47" t="s">
        <v>274</v>
      </c>
      <c r="B39" s="43"/>
      <c r="C39" s="43"/>
      <c r="D39" s="43"/>
      <c r="E39" s="49">
        <f>1/E38</f>
        <v>4.0112314480545523E-2</v>
      </c>
      <c r="F39" s="49">
        <f>1/F38</f>
        <v>8.097750682119445E-2</v>
      </c>
      <c r="G39" s="44" t="s">
        <v>207</v>
      </c>
      <c r="H39" s="2"/>
    </row>
    <row r="40" spans="1:8" x14ac:dyDescent="0.3">
      <c r="A40" s="2"/>
      <c r="B40" s="2"/>
      <c r="C40" s="2"/>
      <c r="D40" s="2"/>
      <c r="E40" s="2"/>
      <c r="F40" s="2"/>
      <c r="G40" s="2"/>
      <c r="H40" s="2"/>
    </row>
    <row r="41" spans="1:8" x14ac:dyDescent="0.3">
      <c r="A41" s="3" t="s">
        <v>275</v>
      </c>
      <c r="B41" s="4"/>
      <c r="C41" s="4"/>
      <c r="D41" s="4"/>
      <c r="E41" s="4"/>
      <c r="F41" s="4"/>
      <c r="G41" s="4"/>
      <c r="H41" s="2"/>
    </row>
    <row r="42" spans="1:8" x14ac:dyDescent="0.3">
      <c r="A42" s="5" t="s">
        <v>276</v>
      </c>
      <c r="B42" s="27">
        <f>Inputs!$B$76/Inputs!$B$77</f>
        <v>0.1015625</v>
      </c>
      <c r="C42" s="7" t="s">
        <v>19</v>
      </c>
      <c r="D42" s="8" t="s">
        <v>277</v>
      </c>
      <c r="E42" s="2"/>
      <c r="F42" s="2"/>
      <c r="G42" s="2"/>
      <c r="H42" s="2"/>
    </row>
    <row r="43" spans="1:8" x14ac:dyDescent="0.3">
      <c r="A43" s="5" t="s">
        <v>278</v>
      </c>
      <c r="B43" s="29">
        <f>Inputs!$B$75/Inputs!$B$77</f>
        <v>3.3625E-3</v>
      </c>
      <c r="C43" s="7" t="s">
        <v>19</v>
      </c>
      <c r="D43" s="8" t="s">
        <v>277</v>
      </c>
      <c r="E43" s="2"/>
      <c r="F43" s="2"/>
      <c r="G43" s="2"/>
      <c r="H43" s="2"/>
    </row>
    <row r="44" spans="1:8" ht="136.80000000000001" x14ac:dyDescent="0.3">
      <c r="A44" s="5" t="s">
        <v>279</v>
      </c>
      <c r="B44" s="32">
        <f>$B$42/$F$38+(1-$B$42)/$E$38</f>
        <v>4.426268557764268E-2</v>
      </c>
      <c r="C44" s="7" t="s">
        <v>207</v>
      </c>
      <c r="D44" s="8" t="s">
        <v>280</v>
      </c>
      <c r="E44" s="2"/>
      <c r="F44" s="2"/>
      <c r="G44" s="2"/>
      <c r="H44" s="2"/>
    </row>
    <row r="45" spans="1:8" x14ac:dyDescent="0.3">
      <c r="A45" s="5" t="s">
        <v>281</v>
      </c>
      <c r="B45" s="20">
        <f>1/$B$44</f>
        <v>22.59239327550214</v>
      </c>
      <c r="C45" s="7" t="s">
        <v>141</v>
      </c>
      <c r="D45" s="8"/>
      <c r="E45" s="2"/>
      <c r="F45" s="2"/>
      <c r="G45" s="2"/>
      <c r="H45" s="2"/>
    </row>
    <row r="46" spans="1:8" ht="136.80000000000001" x14ac:dyDescent="0.3">
      <c r="A46" s="5" t="s">
        <v>282</v>
      </c>
      <c r="B46" s="20">
        <f>($E$38-(E34))+1/($B$43*Inputs!$B$94/B34+(1-$B$43)*D34/B34)</f>
        <v>16.250507052245425</v>
      </c>
      <c r="C46" s="7" t="s">
        <v>141</v>
      </c>
      <c r="D46" s="8" t="s">
        <v>283</v>
      </c>
      <c r="E46" s="2"/>
      <c r="F46" s="2"/>
      <c r="G46" s="2"/>
      <c r="H46" s="2"/>
    </row>
    <row r="47" spans="1:8" x14ac:dyDescent="0.3">
      <c r="A47" s="5" t="s">
        <v>284</v>
      </c>
      <c r="B47" s="32">
        <f>1/$B$46</f>
        <v>6.1536541400523517E-2</v>
      </c>
      <c r="C47" s="7" t="s">
        <v>207</v>
      </c>
      <c r="D47" s="8"/>
      <c r="E47" s="2"/>
      <c r="F47" s="2"/>
      <c r="G47" s="2"/>
      <c r="H47" s="2"/>
    </row>
    <row r="48" spans="1:8" ht="57" x14ac:dyDescent="0.3">
      <c r="A48" s="13" t="s">
        <v>285</v>
      </c>
      <c r="B48" s="50">
        <f>CHOOSE(Inputs!$B$6,$B$44,$B$47,($B$44+$B$47)/2)</f>
        <v>5.2899613489083099E-2</v>
      </c>
      <c r="C48" s="7" t="s">
        <v>207</v>
      </c>
      <c r="D48" s="8" t="s">
        <v>286</v>
      </c>
      <c r="E48" s="2"/>
      <c r="F48" s="2"/>
      <c r="G48" s="2"/>
      <c r="H48" s="2"/>
    </row>
    <row r="49" spans="1:8" ht="22.8" x14ac:dyDescent="0.3">
      <c r="A49" s="13" t="s">
        <v>287</v>
      </c>
      <c r="B49" s="51">
        <f>1/$B$48</f>
        <v>18.903729801473315</v>
      </c>
      <c r="C49" s="7" t="s">
        <v>141</v>
      </c>
      <c r="D49" s="8" t="s">
        <v>288</v>
      </c>
      <c r="E49" s="2"/>
      <c r="F49" s="2"/>
      <c r="G49" s="2"/>
      <c r="H49" s="2"/>
    </row>
    <row r="50" spans="1:8" x14ac:dyDescent="0.3">
      <c r="A50" s="5" t="s">
        <v>289</v>
      </c>
      <c r="B50" s="20">
        <f>$E$38-$B$49</f>
        <v>6.0262701985266887</v>
      </c>
      <c r="C50" s="7" t="s">
        <v>141</v>
      </c>
      <c r="D50" s="8" t="s">
        <v>290</v>
      </c>
      <c r="E50" s="2"/>
      <c r="F50" s="2"/>
      <c r="G50" s="2"/>
      <c r="H50" s="2"/>
    </row>
    <row r="51" spans="1:8" x14ac:dyDescent="0.3">
      <c r="A51" s="5" t="s">
        <v>291</v>
      </c>
      <c r="B51" s="27">
        <f>$B$50/$E$38</f>
        <v>0.24172764534804203</v>
      </c>
      <c r="C51" s="7" t="s">
        <v>19</v>
      </c>
      <c r="D51" s="8"/>
      <c r="E51" s="2"/>
      <c r="F51" s="2"/>
      <c r="G51" s="2"/>
      <c r="H51" s="2"/>
    </row>
    <row r="52" spans="1:8" x14ac:dyDescent="0.3">
      <c r="A52" s="2"/>
      <c r="B52" s="2"/>
      <c r="C52" s="2"/>
      <c r="D52" s="2"/>
      <c r="E52" s="2"/>
      <c r="F52" s="2"/>
      <c r="G52" s="2"/>
      <c r="H52" s="2"/>
    </row>
    <row r="53" spans="1:8" ht="79.95" customHeight="1" x14ac:dyDescent="0.3">
      <c r="A53" s="72" t="s">
        <v>313</v>
      </c>
      <c r="B53" s="73"/>
      <c r="C53" s="73"/>
      <c r="D53" s="73"/>
      <c r="E53" s="73"/>
      <c r="F53" s="73"/>
      <c r="G53" s="73"/>
      <c r="H53" s="2"/>
    </row>
    <row r="54" spans="1:8" x14ac:dyDescent="0.3">
      <c r="A54" s="3" t="s">
        <v>316</v>
      </c>
      <c r="B54" s="4"/>
      <c r="C54" s="4"/>
      <c r="D54" s="4"/>
      <c r="E54" s="4"/>
      <c r="F54" s="4"/>
      <c r="G54" s="4"/>
      <c r="H54" s="2"/>
    </row>
    <row r="55" spans="1:8" x14ac:dyDescent="0.3">
      <c r="A55" s="5" t="s">
        <v>317</v>
      </c>
      <c r="B55" s="20">
        <f>$B$13</f>
        <v>13.5</v>
      </c>
      <c r="C55" s="7" t="s">
        <v>62</v>
      </c>
      <c r="D55" s="8"/>
      <c r="E55" s="2"/>
      <c r="F55" s="2"/>
      <c r="G55" s="2"/>
      <c r="H55" s="2"/>
    </row>
    <row r="56" spans="1:8" ht="22.8" x14ac:dyDescent="0.3">
      <c r="A56" s="5" t="s">
        <v>318</v>
      </c>
      <c r="B56" s="22">
        <f>$B$13/12*Inputs!$B$78</f>
        <v>39.375</v>
      </c>
      <c r="C56" s="7" t="s">
        <v>79</v>
      </c>
      <c r="D56" s="8" t="s">
        <v>319</v>
      </c>
      <c r="E56" s="2"/>
      <c r="F56" s="2"/>
      <c r="G56" s="2"/>
      <c r="H56" s="2"/>
    </row>
    <row r="57" spans="1:8" x14ac:dyDescent="0.3">
      <c r="A57" s="13" t="s">
        <v>320</v>
      </c>
      <c r="B57" s="21">
        <f>$B$24</f>
        <v>20.140652592492554</v>
      </c>
      <c r="C57" s="7" t="s">
        <v>141</v>
      </c>
      <c r="D57" s="8"/>
      <c r="E57" s="2"/>
      <c r="F57" s="2"/>
      <c r="G57" s="2"/>
      <c r="H57" s="2"/>
    </row>
    <row r="58" spans="1:8" x14ac:dyDescent="0.3">
      <c r="A58" s="13"/>
      <c r="B58" s="52">
        <f>$B$23</f>
        <v>4.9650824143243052E-2</v>
      </c>
      <c r="C58" s="7" t="s">
        <v>207</v>
      </c>
      <c r="D58" s="8"/>
      <c r="E58" s="2"/>
      <c r="F58" s="2"/>
      <c r="G58" s="2"/>
      <c r="H58" s="2"/>
    </row>
    <row r="59" spans="1:8" x14ac:dyDescent="0.3">
      <c r="A59" s="5" t="s">
        <v>321</v>
      </c>
      <c r="B59" s="20">
        <f>$B$38</f>
        <v>11.5</v>
      </c>
      <c r="C59" s="7" t="s">
        <v>62</v>
      </c>
      <c r="D59" s="8"/>
      <c r="E59" s="2"/>
      <c r="F59" s="2"/>
      <c r="G59" s="2"/>
      <c r="H59" s="2"/>
    </row>
    <row r="60" spans="1:8" x14ac:dyDescent="0.3">
      <c r="A60" s="13" t="s">
        <v>322</v>
      </c>
      <c r="B60" s="21">
        <f>$B$49</f>
        <v>18.903729801473315</v>
      </c>
      <c r="C60" s="7" t="s">
        <v>141</v>
      </c>
      <c r="D60" s="8"/>
      <c r="E60" s="2"/>
      <c r="F60" s="2"/>
      <c r="G60" s="2"/>
      <c r="H60" s="2"/>
    </row>
    <row r="61" spans="1:8" x14ac:dyDescent="0.3">
      <c r="A61" s="13"/>
      <c r="B61" s="52">
        <f>$B$48</f>
        <v>5.2899613489083099E-2</v>
      </c>
      <c r="C61" s="7" t="s">
        <v>207</v>
      </c>
      <c r="D61" s="8"/>
      <c r="E61" s="2"/>
      <c r="F61" s="2"/>
      <c r="G61" s="2"/>
      <c r="H61" s="2"/>
    </row>
  </sheetData>
  <mergeCells count="3">
    <mergeCell ref="A2:H2"/>
    <mergeCell ref="A53:G53"/>
    <mergeCell ref="A28:G28"/>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1"/>
  <sheetViews>
    <sheetView showGridLines="0" workbookViewId="0">
      <pane ySplit="3" topLeftCell="A4" activePane="bottomLeft" state="frozen"/>
      <selection pane="bottomLeft"/>
    </sheetView>
  </sheetViews>
  <sheetFormatPr defaultRowHeight="14.4" x14ac:dyDescent="0.3"/>
  <cols>
    <col min="1" max="1" width="58" customWidth="1"/>
    <col min="2" max="2" width="14" customWidth="1"/>
    <col min="3" max="3" width="12" customWidth="1"/>
    <col min="4" max="4" width="18" customWidth="1"/>
    <col min="5" max="6" width="20" customWidth="1"/>
    <col min="7" max="7" width="70" customWidth="1"/>
  </cols>
  <sheetData>
    <row r="1" spans="1:8" ht="17.399999999999999" x14ac:dyDescent="0.3">
      <c r="A1" s="1" t="s">
        <v>323</v>
      </c>
      <c r="B1" s="2"/>
      <c r="C1" s="2"/>
      <c r="D1" s="2"/>
      <c r="E1" s="2"/>
      <c r="F1" s="2"/>
      <c r="G1" s="2"/>
      <c r="H1" s="2"/>
    </row>
    <row r="2" spans="1:8" ht="43.95" customHeight="1" x14ac:dyDescent="0.3">
      <c r="A2" s="74" t="s">
        <v>324</v>
      </c>
      <c r="B2" s="73"/>
      <c r="C2" s="73"/>
      <c r="D2" s="73"/>
      <c r="E2" s="73"/>
      <c r="F2" s="73"/>
      <c r="G2" s="73"/>
      <c r="H2" s="73"/>
    </row>
    <row r="3" spans="1:8" x14ac:dyDescent="0.3">
      <c r="A3" s="2"/>
      <c r="B3" s="2"/>
      <c r="C3" s="2"/>
      <c r="D3" s="2"/>
      <c r="E3" s="2"/>
      <c r="F3" s="2"/>
      <c r="G3" s="2"/>
      <c r="H3" s="2"/>
    </row>
    <row r="4" spans="1:8" x14ac:dyDescent="0.3">
      <c r="A4" s="3" t="s">
        <v>253</v>
      </c>
      <c r="B4" s="4"/>
      <c r="C4" s="4"/>
      <c r="D4" s="4"/>
      <c r="E4" s="4"/>
      <c r="F4" s="4"/>
      <c r="G4" s="4"/>
      <c r="H4" s="2"/>
    </row>
    <row r="5" spans="1:8" ht="30" customHeight="1" x14ac:dyDescent="0.3">
      <c r="A5" s="34" t="s">
        <v>254</v>
      </c>
      <c r="B5" s="34" t="s">
        <v>255</v>
      </c>
      <c r="C5" s="34" t="s">
        <v>233</v>
      </c>
      <c r="D5" s="34" t="s">
        <v>256</v>
      </c>
      <c r="E5" s="34" t="s">
        <v>257</v>
      </c>
      <c r="F5" s="34" t="s">
        <v>258</v>
      </c>
      <c r="G5" s="34" t="s">
        <v>259</v>
      </c>
      <c r="H5" s="2"/>
    </row>
    <row r="6" spans="1:8" x14ac:dyDescent="0.3">
      <c r="A6" s="43" t="s">
        <v>325</v>
      </c>
      <c r="B6" s="44" t="s">
        <v>243</v>
      </c>
      <c r="C6" s="44" t="s">
        <v>243</v>
      </c>
      <c r="D6" s="44" t="s">
        <v>243</v>
      </c>
      <c r="E6" s="39">
        <f>Inputs!$B$103</f>
        <v>0.92</v>
      </c>
      <c r="F6" s="39">
        <f>Inputs!$B$103</f>
        <v>0.92</v>
      </c>
      <c r="G6" s="41"/>
      <c r="H6" s="2"/>
    </row>
    <row r="7" spans="1:8" x14ac:dyDescent="0.3">
      <c r="A7" s="43" t="s">
        <v>144</v>
      </c>
      <c r="B7" s="45">
        <f>Inputs!$B$82</f>
        <v>2</v>
      </c>
      <c r="C7" s="36">
        <f>Inputs!$B$89</f>
        <v>35</v>
      </c>
      <c r="D7" s="39">
        <f>Inputs!$B$29</f>
        <v>0.47619047619047616</v>
      </c>
      <c r="E7" s="39">
        <f>B7/D7</f>
        <v>4.2</v>
      </c>
      <c r="F7" s="39">
        <f>E7</f>
        <v>4.2</v>
      </c>
      <c r="G7" s="41" t="s">
        <v>326</v>
      </c>
      <c r="H7" s="2"/>
    </row>
    <row r="8" spans="1:8" x14ac:dyDescent="0.3">
      <c r="A8" s="43" t="s">
        <v>306</v>
      </c>
      <c r="B8" s="45">
        <f>Inputs!$B$83</f>
        <v>1.5</v>
      </c>
      <c r="C8" s="36">
        <f>Inputs!$B$89</f>
        <v>35</v>
      </c>
      <c r="D8" s="39">
        <f>Inputs!$B$29</f>
        <v>0.47619047619047616</v>
      </c>
      <c r="E8" s="39">
        <f>B8/D8</f>
        <v>3.1500000000000004</v>
      </c>
      <c r="F8" s="39">
        <f>E8</f>
        <v>3.1500000000000004</v>
      </c>
      <c r="G8" s="41" t="s">
        <v>326</v>
      </c>
      <c r="H8" s="2"/>
    </row>
    <row r="9" spans="1:8" x14ac:dyDescent="0.3">
      <c r="A9" s="43" t="s">
        <v>327</v>
      </c>
      <c r="B9" s="45">
        <f>Inputs!$B$90</f>
        <v>3</v>
      </c>
      <c r="C9" s="36">
        <f>Inputs!$B$89</f>
        <v>35</v>
      </c>
      <c r="D9" s="39">
        <f>Inputs!$B$29</f>
        <v>0.47619047619047616</v>
      </c>
      <c r="E9" s="39">
        <f>B9/D9</f>
        <v>6.3000000000000007</v>
      </c>
      <c r="F9" s="46">
        <f>B9/Inputs!$B$94</f>
        <v>9.5541401273885346E-3</v>
      </c>
      <c r="G9" s="41" t="s">
        <v>328</v>
      </c>
      <c r="H9" s="2"/>
    </row>
    <row r="10" spans="1:8" x14ac:dyDescent="0.3">
      <c r="A10" s="43" t="s">
        <v>329</v>
      </c>
      <c r="B10" s="44" t="s">
        <v>243</v>
      </c>
      <c r="C10" s="44" t="s">
        <v>243</v>
      </c>
      <c r="D10" s="44" t="s">
        <v>243</v>
      </c>
      <c r="E10" s="39">
        <f>Inputs!$B$101</f>
        <v>0.17</v>
      </c>
      <c r="F10" s="39">
        <f>Inputs!$B$101</f>
        <v>0.17</v>
      </c>
      <c r="G10" s="41"/>
      <c r="H10" s="2"/>
    </row>
    <row r="11" spans="1:8" x14ac:dyDescent="0.3">
      <c r="A11" s="47" t="s">
        <v>272</v>
      </c>
      <c r="B11" s="48">
        <f>SUM(B6:B10)</f>
        <v>6.5</v>
      </c>
      <c r="C11" s="43"/>
      <c r="D11" s="43"/>
      <c r="E11" s="48">
        <f>SUM(E6:E10)</f>
        <v>14.74</v>
      </c>
      <c r="F11" s="48">
        <f>SUM(F6:F10)</f>
        <v>8.4495541401273879</v>
      </c>
      <c r="G11" s="41" t="s">
        <v>273</v>
      </c>
      <c r="H11" s="2"/>
    </row>
    <row r="12" spans="1:8" x14ac:dyDescent="0.3">
      <c r="A12" s="47" t="s">
        <v>274</v>
      </c>
      <c r="B12" s="43"/>
      <c r="C12" s="43"/>
      <c r="D12" s="43"/>
      <c r="E12" s="49">
        <f>1/E11</f>
        <v>6.7842605156037988E-2</v>
      </c>
      <c r="F12" s="49">
        <f>1/F11</f>
        <v>0.11834943991316016</v>
      </c>
      <c r="G12" s="44" t="s">
        <v>207</v>
      </c>
      <c r="H12" s="2"/>
    </row>
    <row r="13" spans="1:8" x14ac:dyDescent="0.3">
      <c r="A13" s="2"/>
      <c r="B13" s="2"/>
      <c r="C13" s="2"/>
      <c r="D13" s="2"/>
      <c r="E13" s="2"/>
      <c r="F13" s="2"/>
      <c r="G13" s="2"/>
      <c r="H13" s="2"/>
    </row>
    <row r="14" spans="1:8" x14ac:dyDescent="0.3">
      <c r="A14" s="3" t="s">
        <v>275</v>
      </c>
      <c r="B14" s="4"/>
      <c r="C14" s="4"/>
      <c r="D14" s="4"/>
      <c r="E14" s="4"/>
      <c r="F14" s="4"/>
      <c r="G14" s="4"/>
      <c r="H14" s="2"/>
    </row>
    <row r="15" spans="1:8" x14ac:dyDescent="0.3">
      <c r="A15" s="5" t="s">
        <v>276</v>
      </c>
      <c r="B15" s="27">
        <f>Inputs!$B$87/Inputs!$B$88</f>
        <v>0.1015625</v>
      </c>
      <c r="C15" s="7" t="s">
        <v>19</v>
      </c>
      <c r="D15" s="8" t="s">
        <v>277</v>
      </c>
      <c r="E15" s="2"/>
      <c r="F15" s="2"/>
      <c r="G15" s="2"/>
      <c r="H15" s="2"/>
    </row>
    <row r="16" spans="1:8" x14ac:dyDescent="0.3">
      <c r="A16" s="5" t="s">
        <v>278</v>
      </c>
      <c r="B16" s="29">
        <f>Inputs!$B$85/Inputs!$B$88</f>
        <v>4.4562500000000001E-3</v>
      </c>
      <c r="C16" s="7" t="s">
        <v>19</v>
      </c>
      <c r="D16" s="8" t="s">
        <v>277</v>
      </c>
      <c r="E16" s="2"/>
      <c r="F16" s="2"/>
      <c r="G16" s="2"/>
      <c r="H16" s="2"/>
    </row>
    <row r="17" spans="1:8" ht="136.80000000000001" x14ac:dyDescent="0.3">
      <c r="A17" s="5" t="s">
        <v>279</v>
      </c>
      <c r="B17" s="32">
        <f>$B$15/$F$11+(1-$B$15)/$E$11</f>
        <v>7.2972205561058212E-2</v>
      </c>
      <c r="C17" s="7" t="s">
        <v>207</v>
      </c>
      <c r="D17" s="8" t="s">
        <v>280</v>
      </c>
      <c r="E17" s="2"/>
      <c r="F17" s="2"/>
      <c r="G17" s="2"/>
      <c r="H17" s="2"/>
    </row>
    <row r="18" spans="1:8" x14ac:dyDescent="0.3">
      <c r="A18" s="5" t="s">
        <v>281</v>
      </c>
      <c r="B18" s="20">
        <f>1/$B$17</f>
        <v>13.703847818650178</v>
      </c>
      <c r="C18" s="7" t="s">
        <v>141</v>
      </c>
      <c r="D18" s="8"/>
      <c r="E18" s="2"/>
      <c r="F18" s="2"/>
      <c r="G18" s="2"/>
      <c r="H18" s="2"/>
    </row>
    <row r="19" spans="1:8" ht="136.80000000000001" x14ac:dyDescent="0.3">
      <c r="A19" s="5" t="s">
        <v>282</v>
      </c>
      <c r="B19" s="20">
        <f>($E$11-(E9))+1/($B$16*Inputs!$B$94/B9+(1-$B$16)*D9/B9)</f>
        <v>10.041425522909917</v>
      </c>
      <c r="C19" s="7" t="s">
        <v>141</v>
      </c>
      <c r="D19" s="8" t="s">
        <v>283</v>
      </c>
      <c r="E19" s="2"/>
      <c r="F19" s="2"/>
      <c r="G19" s="2"/>
      <c r="H19" s="2"/>
    </row>
    <row r="20" spans="1:8" x14ac:dyDescent="0.3">
      <c r="A20" s="5" t="s">
        <v>284</v>
      </c>
      <c r="B20" s="32">
        <f>1/$B$19</f>
        <v>9.958745376525073E-2</v>
      </c>
      <c r="C20" s="7" t="s">
        <v>207</v>
      </c>
      <c r="D20" s="8"/>
      <c r="E20" s="2"/>
      <c r="F20" s="2"/>
      <c r="G20" s="2"/>
      <c r="H20" s="2"/>
    </row>
    <row r="21" spans="1:8" ht="57" x14ac:dyDescent="0.3">
      <c r="A21" s="13" t="s">
        <v>285</v>
      </c>
      <c r="B21" s="50">
        <f>CHOOSE(Inputs!$B$6,$B$17,$B$20,($B$17+$B$20)/2)</f>
        <v>8.6279829663154478E-2</v>
      </c>
      <c r="C21" s="7" t="s">
        <v>207</v>
      </c>
      <c r="D21" s="8" t="s">
        <v>286</v>
      </c>
      <c r="E21" s="2"/>
      <c r="F21" s="2"/>
      <c r="G21" s="2"/>
      <c r="H21" s="2"/>
    </row>
    <row r="22" spans="1:8" ht="22.8" x14ac:dyDescent="0.3">
      <c r="A22" s="13" t="s">
        <v>287</v>
      </c>
      <c r="B22" s="51">
        <f>1/$B$21</f>
        <v>11.590194416285998</v>
      </c>
      <c r="C22" s="7" t="s">
        <v>141</v>
      </c>
      <c r="D22" s="8" t="s">
        <v>288</v>
      </c>
      <c r="E22" s="2"/>
      <c r="F22" s="2"/>
      <c r="G22" s="2"/>
      <c r="H22" s="2"/>
    </row>
    <row r="23" spans="1:8" x14ac:dyDescent="0.3">
      <c r="A23" s="5" t="s">
        <v>289</v>
      </c>
      <c r="B23" s="20">
        <f>$E$11-$B$22</f>
        <v>3.1498055837140022</v>
      </c>
      <c r="C23" s="7" t="s">
        <v>141</v>
      </c>
      <c r="D23" s="8" t="s">
        <v>290</v>
      </c>
      <c r="E23" s="2"/>
      <c r="F23" s="2"/>
      <c r="G23" s="2"/>
      <c r="H23" s="2"/>
    </row>
    <row r="24" spans="1:8" x14ac:dyDescent="0.3">
      <c r="A24" s="5" t="s">
        <v>291</v>
      </c>
      <c r="B24" s="27">
        <f>$B$23/$E$11</f>
        <v>0.21369101653419281</v>
      </c>
      <c r="C24" s="7" t="s">
        <v>19</v>
      </c>
      <c r="D24" s="8"/>
      <c r="E24" s="2"/>
      <c r="F24" s="2"/>
      <c r="G24" s="2"/>
      <c r="H24" s="2"/>
    </row>
    <row r="25" spans="1:8" x14ac:dyDescent="0.3">
      <c r="A25" s="2"/>
      <c r="B25" s="2"/>
      <c r="C25" s="2"/>
      <c r="D25" s="2"/>
      <c r="E25" s="2"/>
      <c r="F25" s="2"/>
      <c r="G25" s="2"/>
      <c r="H25" s="2"/>
    </row>
    <row r="26" spans="1:8" ht="79.95" customHeight="1" x14ac:dyDescent="0.3">
      <c r="A26" s="72" t="s">
        <v>330</v>
      </c>
      <c r="B26" s="73"/>
      <c r="C26" s="73"/>
      <c r="D26" s="73"/>
      <c r="E26" s="73"/>
      <c r="F26" s="73"/>
      <c r="G26" s="73"/>
      <c r="H26" s="2"/>
    </row>
    <row r="27" spans="1:8" x14ac:dyDescent="0.3">
      <c r="A27" s="3" t="s">
        <v>331</v>
      </c>
      <c r="B27" s="4"/>
      <c r="C27" s="4"/>
      <c r="D27" s="4"/>
      <c r="E27" s="4"/>
      <c r="F27" s="4"/>
      <c r="G27" s="4"/>
      <c r="H27" s="2"/>
    </row>
    <row r="28" spans="1:8" x14ac:dyDescent="0.3">
      <c r="A28" s="5" t="s">
        <v>332</v>
      </c>
      <c r="B28" s="20">
        <f>$B$11</f>
        <v>6.5</v>
      </c>
      <c r="C28" s="7" t="s">
        <v>62</v>
      </c>
      <c r="D28" s="8"/>
      <c r="E28" s="2"/>
      <c r="F28" s="2"/>
      <c r="G28" s="2"/>
      <c r="H28" s="2"/>
    </row>
    <row r="29" spans="1:8" ht="22.8" x14ac:dyDescent="0.3">
      <c r="A29" s="5" t="s">
        <v>333</v>
      </c>
      <c r="B29" s="22">
        <f>$B$11/12*Inputs!$B$89</f>
        <v>18.958333333333332</v>
      </c>
      <c r="C29" s="7" t="s">
        <v>79</v>
      </c>
      <c r="D29" s="8" t="s">
        <v>334</v>
      </c>
      <c r="E29" s="2"/>
      <c r="F29" s="2"/>
      <c r="G29" s="2"/>
      <c r="H29" s="2"/>
    </row>
    <row r="30" spans="1:8" x14ac:dyDescent="0.3">
      <c r="A30" s="13" t="s">
        <v>335</v>
      </c>
      <c r="B30" s="21">
        <f>$B$22</f>
        <v>11.590194416285998</v>
      </c>
      <c r="C30" s="7" t="s">
        <v>141</v>
      </c>
      <c r="D30" s="8"/>
      <c r="E30" s="2"/>
      <c r="F30" s="2"/>
      <c r="G30" s="2"/>
      <c r="H30" s="2"/>
    </row>
    <row r="31" spans="1:8" x14ac:dyDescent="0.3">
      <c r="A31" s="13"/>
      <c r="B31" s="52">
        <f>$B$21</f>
        <v>8.6279829663154478E-2</v>
      </c>
      <c r="C31" s="7" t="s">
        <v>207</v>
      </c>
      <c r="D31" s="8"/>
      <c r="E31" s="2"/>
      <c r="F31" s="2"/>
      <c r="G31" s="2"/>
      <c r="H31" s="2"/>
    </row>
  </sheetData>
  <mergeCells count="2">
    <mergeCell ref="A26:G26"/>
    <mergeCell ref="A2:H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8"/>
  <sheetViews>
    <sheetView showGridLines="0" workbookViewId="0">
      <pane ySplit="3" topLeftCell="A4" activePane="bottomLeft" state="frozen"/>
      <selection pane="bottomLeft"/>
    </sheetView>
  </sheetViews>
  <sheetFormatPr defaultRowHeight="14.4" x14ac:dyDescent="0.3"/>
  <cols>
    <col min="1" max="1" width="58" customWidth="1"/>
    <col min="2" max="2" width="14" customWidth="1"/>
    <col min="3" max="3" width="12" customWidth="1"/>
    <col min="4" max="4" width="14" customWidth="1"/>
    <col min="5" max="5" width="16" customWidth="1"/>
    <col min="6" max="6" width="60" customWidth="1"/>
  </cols>
  <sheetData>
    <row r="1" spans="1:8" ht="17.399999999999999" x14ac:dyDescent="0.3">
      <c r="A1" s="1" t="s">
        <v>336</v>
      </c>
      <c r="B1" s="2"/>
      <c r="C1" s="2"/>
      <c r="D1" s="2"/>
      <c r="E1" s="2"/>
      <c r="F1" s="2"/>
      <c r="G1" s="2"/>
      <c r="H1" s="2"/>
    </row>
    <row r="2" spans="1:8" ht="43.95" customHeight="1" x14ac:dyDescent="0.3">
      <c r="A2" s="74" t="s">
        <v>337</v>
      </c>
      <c r="B2" s="73"/>
      <c r="C2" s="73"/>
      <c r="D2" s="73"/>
      <c r="E2" s="73"/>
      <c r="F2" s="73"/>
      <c r="G2" s="73"/>
      <c r="H2" s="73"/>
    </row>
    <row r="3" spans="1:8" x14ac:dyDescent="0.3">
      <c r="A3" s="2"/>
      <c r="B3" s="2"/>
      <c r="C3" s="2"/>
      <c r="D3" s="2"/>
      <c r="E3" s="2"/>
      <c r="F3" s="2"/>
      <c r="G3" s="2"/>
      <c r="H3" s="2"/>
    </row>
    <row r="4" spans="1:8" x14ac:dyDescent="0.3">
      <c r="A4" s="3" t="s">
        <v>338</v>
      </c>
      <c r="B4" s="4"/>
      <c r="C4" s="4"/>
      <c r="D4" s="4"/>
      <c r="E4" s="4"/>
      <c r="F4" s="4"/>
      <c r="G4" s="2"/>
      <c r="H4" s="2"/>
    </row>
    <row r="5" spans="1:8" ht="30" customHeight="1" x14ac:dyDescent="0.3">
      <c r="A5" s="34" t="s">
        <v>339</v>
      </c>
      <c r="B5" s="34" t="s">
        <v>255</v>
      </c>
      <c r="C5" s="34" t="s">
        <v>233</v>
      </c>
      <c r="D5" s="34" t="s">
        <v>340</v>
      </c>
      <c r="E5" s="34" t="s">
        <v>341</v>
      </c>
      <c r="F5" s="34" t="s">
        <v>259</v>
      </c>
      <c r="G5" s="2"/>
      <c r="H5" s="2"/>
    </row>
    <row r="6" spans="1:8" x14ac:dyDescent="0.3">
      <c r="A6" s="43" t="s">
        <v>342</v>
      </c>
      <c r="B6" s="45">
        <f>Inputs!$B$38</f>
        <v>2</v>
      </c>
      <c r="C6" s="36">
        <f>Inputs!$B$10</f>
        <v>35</v>
      </c>
      <c r="D6" s="45">
        <f>Inputs!$B$95</f>
        <v>0.2</v>
      </c>
      <c r="E6" s="39">
        <f>B6/12*C6*D6</f>
        <v>1.1666666666666667</v>
      </c>
      <c r="F6" s="41"/>
      <c r="G6" s="2"/>
      <c r="H6" s="2"/>
    </row>
    <row r="7" spans="1:8" x14ac:dyDescent="0.3">
      <c r="A7" s="43" t="s">
        <v>343</v>
      </c>
      <c r="B7" s="45">
        <f>Inputs!$B$39</f>
        <v>1.5</v>
      </c>
      <c r="C7" s="36">
        <f>Inputs!$B$10</f>
        <v>35</v>
      </c>
      <c r="D7" s="45">
        <f>Inputs!$B$95</f>
        <v>0.2</v>
      </c>
      <c r="E7" s="39">
        <f>B7/12*C7*D7</f>
        <v>0.875</v>
      </c>
      <c r="F7" s="41"/>
      <c r="G7" s="2"/>
      <c r="H7" s="2"/>
    </row>
    <row r="8" spans="1:8" x14ac:dyDescent="0.3">
      <c r="A8" s="43" t="s">
        <v>344</v>
      </c>
      <c r="B8" s="45">
        <f>Inputs!$B$43</f>
        <v>1.5</v>
      </c>
      <c r="C8" s="36">
        <f>Inputs!$B$10</f>
        <v>35</v>
      </c>
      <c r="D8" s="45">
        <f>Inputs!$B$95</f>
        <v>0.2</v>
      </c>
      <c r="E8" s="39">
        <f>B8/12*C8*D8</f>
        <v>0.875</v>
      </c>
      <c r="F8" s="41"/>
      <c r="G8" s="2"/>
      <c r="H8" s="2"/>
    </row>
    <row r="9" spans="1:8" x14ac:dyDescent="0.3">
      <c r="A9" s="43" t="s">
        <v>345</v>
      </c>
      <c r="B9" s="45">
        <f>Inputs!$B$44</f>
        <v>4.5</v>
      </c>
      <c r="C9" s="36">
        <f>Inputs!$B$11</f>
        <v>30</v>
      </c>
      <c r="D9" s="45">
        <f>Inputs!$B$95</f>
        <v>0.2</v>
      </c>
      <c r="E9" s="39">
        <f>B9/12*C9*D9</f>
        <v>2.25</v>
      </c>
      <c r="F9" s="41" t="s">
        <v>346</v>
      </c>
      <c r="G9" s="2"/>
      <c r="H9" s="2"/>
    </row>
    <row r="10" spans="1:8" x14ac:dyDescent="0.3">
      <c r="A10" s="43" t="s">
        <v>347</v>
      </c>
      <c r="B10" s="45">
        <f>Inputs!$B$42</f>
        <v>2</v>
      </c>
      <c r="C10" s="36">
        <f>Inputs!$B$10</f>
        <v>35</v>
      </c>
      <c r="D10" s="45">
        <f>Inputs!$B$95</f>
        <v>0.2</v>
      </c>
      <c r="E10" s="39">
        <f>B10/12*C10*D10</f>
        <v>1.1666666666666667</v>
      </c>
      <c r="F10" s="41"/>
      <c r="G10" s="2"/>
      <c r="H10" s="2"/>
    </row>
    <row r="11" spans="1:8" x14ac:dyDescent="0.3">
      <c r="A11" s="43" t="s">
        <v>348</v>
      </c>
      <c r="B11" s="44" t="s">
        <v>243</v>
      </c>
      <c r="C11" s="45">
        <f>Inputs!$B$97</f>
        <v>1.5</v>
      </c>
      <c r="D11" s="45">
        <f>Inputs!$B$96</f>
        <v>0.12</v>
      </c>
      <c r="E11" s="39">
        <f>C11*D11</f>
        <v>0.18</v>
      </c>
      <c r="F11" s="44" t="s">
        <v>349</v>
      </c>
      <c r="G11" s="2"/>
      <c r="H11" s="2"/>
    </row>
    <row r="12" spans="1:8" x14ac:dyDescent="0.3">
      <c r="A12" s="47" t="s">
        <v>350</v>
      </c>
      <c r="B12" s="43"/>
      <c r="C12" s="43"/>
      <c r="D12" s="43"/>
      <c r="E12" s="53">
        <f>SUM(E6:E11)</f>
        <v>6.5133333333333336</v>
      </c>
      <c r="F12" s="44" t="s">
        <v>351</v>
      </c>
      <c r="G12" s="2"/>
      <c r="H12" s="2"/>
    </row>
    <row r="13" spans="1:8" x14ac:dyDescent="0.3">
      <c r="A13" s="43" t="s">
        <v>352</v>
      </c>
      <c r="B13" s="43"/>
      <c r="C13" s="43"/>
      <c r="D13" s="43"/>
      <c r="E13" s="45">
        <f>SUM(E6:E10)</f>
        <v>6.3333333333333339</v>
      </c>
      <c r="F13" s="44" t="s">
        <v>353</v>
      </c>
      <c r="G13" s="2"/>
      <c r="H13" s="2"/>
    </row>
    <row r="14" spans="1:8" x14ac:dyDescent="0.3">
      <c r="A14" s="2"/>
      <c r="B14" s="2"/>
      <c r="C14" s="2"/>
      <c r="D14" s="2"/>
      <c r="E14" s="2"/>
      <c r="F14" s="2"/>
      <c r="G14" s="2"/>
      <c r="H14" s="2"/>
    </row>
    <row r="15" spans="1:8" x14ac:dyDescent="0.3">
      <c r="A15" s="3" t="s">
        <v>354</v>
      </c>
      <c r="B15" s="4"/>
      <c r="C15" s="4"/>
      <c r="D15" s="4"/>
      <c r="E15" s="4"/>
      <c r="F15" s="4"/>
      <c r="G15" s="2"/>
      <c r="H15" s="2"/>
    </row>
    <row r="16" spans="1:8" ht="91.2" x14ac:dyDescent="0.3">
      <c r="A16" s="5" t="s">
        <v>355</v>
      </c>
      <c r="B16" s="6">
        <v>6</v>
      </c>
      <c r="C16" s="7" t="s">
        <v>351</v>
      </c>
      <c r="D16" s="8" t="s">
        <v>356</v>
      </c>
      <c r="E16" s="2"/>
      <c r="F16" s="2"/>
      <c r="G16" s="2"/>
      <c r="H16" s="2"/>
    </row>
    <row r="17" spans="1:8" x14ac:dyDescent="0.3">
      <c r="A17" s="13" t="s">
        <v>357</v>
      </c>
      <c r="B17" s="54" t="str">
        <f>IF($E$12&gt;=$B$16,"YES — mass wall","NO — frame-wall rules apply")</f>
        <v>YES — mass wall</v>
      </c>
      <c r="C17" s="7"/>
      <c r="D17" s="8"/>
      <c r="E17" s="2"/>
      <c r="F17" s="2"/>
      <c r="G17" s="2"/>
      <c r="H17" s="2"/>
    </row>
    <row r="18" spans="1:8" x14ac:dyDescent="0.3">
      <c r="A18" s="13" t="s">
        <v>358</v>
      </c>
      <c r="B18" s="18" t="str">
        <f>IF($E$13&gt;=$B$16,"YES","NO")</f>
        <v>YES</v>
      </c>
      <c r="C18" s="7"/>
      <c r="D18" s="8"/>
      <c r="E18" s="2"/>
      <c r="F18" s="2"/>
      <c r="G18" s="2"/>
      <c r="H18" s="2"/>
    </row>
    <row r="19" spans="1:8" ht="68.400000000000006" x14ac:dyDescent="0.3">
      <c r="A19" s="5" t="s">
        <v>359</v>
      </c>
      <c r="B19" s="20">
        <f>$E$12-$B$16</f>
        <v>0.51333333333333364</v>
      </c>
      <c r="C19" s="7" t="s">
        <v>351</v>
      </c>
      <c r="D19" s="8" t="s">
        <v>360</v>
      </c>
      <c r="E19" s="2"/>
      <c r="F19" s="2"/>
      <c r="G19" s="2"/>
      <c r="H19" s="2"/>
    </row>
    <row r="20" spans="1:8" x14ac:dyDescent="0.3">
      <c r="A20" s="2"/>
      <c r="B20" s="2"/>
      <c r="C20" s="2"/>
      <c r="D20" s="2"/>
      <c r="E20" s="2"/>
      <c r="F20" s="2"/>
      <c r="G20" s="2"/>
      <c r="H20" s="2"/>
    </row>
    <row r="21" spans="1:8" x14ac:dyDescent="0.3">
      <c r="A21" s="3" t="s">
        <v>361</v>
      </c>
      <c r="B21" s="4"/>
      <c r="C21" s="4"/>
      <c r="D21" s="4"/>
      <c r="E21" s="4"/>
      <c r="F21" s="4"/>
      <c r="G21" s="2"/>
      <c r="H21" s="2"/>
    </row>
    <row r="22" spans="1:8" ht="34.200000000000003" x14ac:dyDescent="0.3">
      <c r="A22" s="5" t="s">
        <v>362</v>
      </c>
      <c r="B22" s="20">
        <f>(Inputs!$B$38+Inputs!$B$39+Inputs!$B$43+Inputs!$B$42)/12*Inputs!$B$10*Inputs!$B$95</f>
        <v>4.0833333333333339</v>
      </c>
      <c r="C22" s="7" t="s">
        <v>351</v>
      </c>
      <c r="D22" s="8" t="s">
        <v>363</v>
      </c>
      <c r="E22" s="2"/>
      <c r="F22" s="2"/>
      <c r="G22" s="2"/>
      <c r="H22" s="2"/>
    </row>
    <row r="23" spans="1:8" x14ac:dyDescent="0.3">
      <c r="A23" s="5" t="s">
        <v>364</v>
      </c>
      <c r="B23" s="20">
        <f>Inputs!$B$97*Inputs!$B$96</f>
        <v>0.18</v>
      </c>
      <c r="C23" s="7" t="s">
        <v>351</v>
      </c>
      <c r="D23" s="8"/>
      <c r="E23" s="2"/>
      <c r="F23" s="2"/>
      <c r="G23" s="2"/>
      <c r="H23" s="2"/>
    </row>
    <row r="24" spans="1:8" x14ac:dyDescent="0.3">
      <c r="A24" s="5" t="s">
        <v>365</v>
      </c>
      <c r="B24" s="32">
        <f>Inputs!$B$44/12*Inputs!$B$95</f>
        <v>7.5000000000000011E-2</v>
      </c>
      <c r="C24" s="7" t="s">
        <v>366</v>
      </c>
      <c r="D24" s="8" t="s">
        <v>367</v>
      </c>
      <c r="E24" s="2"/>
      <c r="F24" s="2"/>
      <c r="G24" s="2"/>
      <c r="H24" s="2"/>
    </row>
    <row r="25" spans="1:8" ht="57" x14ac:dyDescent="0.3">
      <c r="A25" s="13" t="s">
        <v>368</v>
      </c>
      <c r="B25" s="55">
        <f>($B$16-$B$22-$B$23)/$B$24</f>
        <v>23.155555555555544</v>
      </c>
      <c r="C25" s="7" t="s">
        <v>14</v>
      </c>
      <c r="D25" s="8" t="s">
        <v>369</v>
      </c>
      <c r="E25" s="2"/>
      <c r="F25" s="2"/>
      <c r="G25" s="2"/>
      <c r="H25" s="2"/>
    </row>
    <row r="26" spans="1:8" x14ac:dyDescent="0.3">
      <c r="A26" s="2"/>
      <c r="B26" s="2"/>
      <c r="C26" s="2"/>
      <c r="D26" s="2"/>
      <c r="E26" s="2"/>
      <c r="F26" s="2"/>
      <c r="G26" s="2"/>
      <c r="H26" s="2"/>
    </row>
    <row r="27" spans="1:8" ht="30" customHeight="1" x14ac:dyDescent="0.3">
      <c r="A27" s="34" t="s">
        <v>370</v>
      </c>
      <c r="B27" s="34" t="s">
        <v>341</v>
      </c>
      <c r="C27" s="34" t="s">
        <v>371</v>
      </c>
      <c r="D27" s="34" t="s">
        <v>372</v>
      </c>
      <c r="E27" s="34"/>
      <c r="F27" s="34" t="s">
        <v>259</v>
      </c>
      <c r="G27" s="2"/>
      <c r="H27" s="2"/>
    </row>
    <row r="28" spans="1:8" x14ac:dyDescent="0.3">
      <c r="A28" s="56">
        <v>35</v>
      </c>
      <c r="B28" s="45">
        <f t="shared" ref="B28:B33" si="0">$B$22+$B$24*A28+$B$23</f>
        <v>6.8883333333333336</v>
      </c>
      <c r="C28" s="57" t="str">
        <f t="shared" ref="C28:C34" si="1">IF(B28&gt;=$B$16,"YES","NO")</f>
        <v>YES</v>
      </c>
      <c r="D28" s="45">
        <f t="shared" ref="D28:D34" si="2">B28-$B$16</f>
        <v>0.88833333333333364</v>
      </c>
      <c r="E28" s="43"/>
      <c r="F28" s="44" t="s">
        <v>373</v>
      </c>
      <c r="G28" s="2"/>
      <c r="H28" s="2"/>
    </row>
    <row r="29" spans="1:8" x14ac:dyDescent="0.3">
      <c r="A29" s="56">
        <v>30</v>
      </c>
      <c r="B29" s="45">
        <f t="shared" si="0"/>
        <v>6.5133333333333336</v>
      </c>
      <c r="C29" s="57" t="str">
        <f t="shared" si="1"/>
        <v>YES</v>
      </c>
      <c r="D29" s="45">
        <f t="shared" si="2"/>
        <v>0.51333333333333364</v>
      </c>
      <c r="E29" s="43"/>
      <c r="F29" s="44" t="s">
        <v>373</v>
      </c>
      <c r="G29" s="2"/>
      <c r="H29" s="2"/>
    </row>
    <row r="30" spans="1:8" x14ac:dyDescent="0.3">
      <c r="A30" s="56">
        <v>25</v>
      </c>
      <c r="B30" s="45">
        <f t="shared" si="0"/>
        <v>6.1383333333333336</v>
      </c>
      <c r="C30" s="57" t="str">
        <f t="shared" si="1"/>
        <v>YES</v>
      </c>
      <c r="D30" s="45">
        <f t="shared" si="2"/>
        <v>0.13833333333333364</v>
      </c>
      <c r="E30" s="43"/>
      <c r="F30" s="44" t="s">
        <v>373</v>
      </c>
      <c r="G30" s="2"/>
      <c r="H30" s="2"/>
    </row>
    <row r="31" spans="1:8" x14ac:dyDescent="0.3">
      <c r="A31" s="56">
        <v>23.2</v>
      </c>
      <c r="B31" s="45">
        <f t="shared" si="0"/>
        <v>6.0033333333333339</v>
      </c>
      <c r="C31" s="57" t="str">
        <f t="shared" si="1"/>
        <v>YES</v>
      </c>
      <c r="D31" s="45">
        <f t="shared" si="2"/>
        <v>3.3333333333338544E-3</v>
      </c>
      <c r="E31" s="43"/>
      <c r="F31" s="44" t="s">
        <v>374</v>
      </c>
      <c r="G31" s="2"/>
      <c r="H31" s="2"/>
    </row>
    <row r="32" spans="1:8" x14ac:dyDescent="0.3">
      <c r="A32" s="56">
        <v>20</v>
      </c>
      <c r="B32" s="45">
        <f t="shared" si="0"/>
        <v>5.7633333333333336</v>
      </c>
      <c r="C32" s="57" t="str">
        <f t="shared" si="1"/>
        <v>NO</v>
      </c>
      <c r="D32" s="45">
        <f t="shared" si="2"/>
        <v>-0.23666666666666636</v>
      </c>
      <c r="E32" s="43"/>
      <c r="F32" s="44" t="s">
        <v>373</v>
      </c>
      <c r="G32" s="2"/>
      <c r="H32" s="2"/>
    </row>
    <row r="33" spans="1:8" x14ac:dyDescent="0.3">
      <c r="A33" s="56">
        <v>17</v>
      </c>
      <c r="B33" s="45">
        <f t="shared" si="0"/>
        <v>5.538333333333334</v>
      </c>
      <c r="C33" s="57" t="str">
        <f t="shared" si="1"/>
        <v>NO</v>
      </c>
      <c r="D33" s="45">
        <f t="shared" si="2"/>
        <v>-0.461666666666666</v>
      </c>
      <c r="E33" s="43"/>
      <c r="F33" s="44" t="s">
        <v>373</v>
      </c>
      <c r="G33" s="2"/>
      <c r="H33" s="2"/>
    </row>
    <row r="34" spans="1:8" ht="30" customHeight="1" x14ac:dyDescent="0.3">
      <c r="A34" s="43" t="s">
        <v>375</v>
      </c>
      <c r="B34" s="45">
        <f>Inputs!$B$45/12*17*Inputs!$B$95+$B$23</f>
        <v>3.4383333333333339</v>
      </c>
      <c r="C34" s="57" t="str">
        <f t="shared" si="1"/>
        <v>NO</v>
      </c>
      <c r="D34" s="45">
        <f t="shared" si="2"/>
        <v>-2.5616666666666661</v>
      </c>
      <c r="E34" s="43"/>
      <c r="F34" s="41" t="s">
        <v>376</v>
      </c>
      <c r="G34" s="2"/>
      <c r="H34" s="2"/>
    </row>
    <row r="35" spans="1:8" x14ac:dyDescent="0.3">
      <c r="A35" s="2"/>
      <c r="B35" s="2"/>
      <c r="C35" s="2"/>
      <c r="D35" s="2"/>
      <c r="E35" s="2"/>
      <c r="F35" s="2"/>
      <c r="G35" s="2"/>
      <c r="H35" s="2"/>
    </row>
    <row r="36" spans="1:8" ht="43.95" customHeight="1" x14ac:dyDescent="0.3">
      <c r="A36" s="72" t="s">
        <v>377</v>
      </c>
      <c r="B36" s="73"/>
      <c r="C36" s="73"/>
      <c r="D36" s="73"/>
      <c r="E36" s="73"/>
      <c r="F36" s="73"/>
      <c r="G36" s="2"/>
      <c r="H36" s="2"/>
    </row>
    <row r="37" spans="1:8" ht="70.05" customHeight="1" x14ac:dyDescent="0.3">
      <c r="A37" s="72" t="s">
        <v>378</v>
      </c>
      <c r="B37" s="73"/>
      <c r="C37" s="73"/>
      <c r="D37" s="73"/>
      <c r="E37" s="73"/>
      <c r="F37" s="73"/>
      <c r="G37" s="2"/>
      <c r="H37" s="2"/>
    </row>
    <row r="38" spans="1:8" ht="30" customHeight="1" x14ac:dyDescent="0.3">
      <c r="A38" s="72" t="s">
        <v>379</v>
      </c>
      <c r="B38" s="73"/>
      <c r="C38" s="73"/>
      <c r="D38" s="73"/>
      <c r="E38" s="73"/>
      <c r="F38" s="73"/>
      <c r="G38" s="2"/>
      <c r="H38" s="2"/>
    </row>
  </sheetData>
  <mergeCells count="4">
    <mergeCell ref="A36:F36"/>
    <mergeCell ref="A38:F38"/>
    <mergeCell ref="A2:H2"/>
    <mergeCell ref="A37:F37"/>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3"/>
  <sheetViews>
    <sheetView showGridLines="0" workbookViewId="0">
      <pane ySplit="3" topLeftCell="A4" activePane="bottomLeft" state="frozen"/>
      <selection pane="bottomLeft"/>
    </sheetView>
  </sheetViews>
  <sheetFormatPr defaultRowHeight="14.4" x14ac:dyDescent="0.3"/>
  <cols>
    <col min="1" max="1" width="56" customWidth="1"/>
    <col min="2" max="4" width="16" customWidth="1"/>
    <col min="5" max="5" width="18" customWidth="1"/>
    <col min="6" max="6" width="62" customWidth="1"/>
  </cols>
  <sheetData>
    <row r="1" spans="1:8" ht="17.399999999999999" x14ac:dyDescent="0.3">
      <c r="A1" s="1" t="s">
        <v>380</v>
      </c>
      <c r="B1" s="2"/>
      <c r="C1" s="2"/>
      <c r="D1" s="2"/>
      <c r="E1" s="2"/>
      <c r="F1" s="2"/>
      <c r="G1" s="2"/>
      <c r="H1" s="2"/>
    </row>
    <row r="2" spans="1:8" ht="43.95" customHeight="1" x14ac:dyDescent="0.3">
      <c r="A2" s="74" t="s">
        <v>381</v>
      </c>
      <c r="B2" s="73"/>
      <c r="C2" s="73"/>
      <c r="D2" s="73"/>
      <c r="E2" s="73"/>
      <c r="F2" s="73"/>
      <c r="G2" s="73"/>
      <c r="H2" s="73"/>
    </row>
    <row r="3" spans="1:8" x14ac:dyDescent="0.3">
      <c r="A3" s="2"/>
      <c r="B3" s="2"/>
      <c r="C3" s="2"/>
      <c r="D3" s="2"/>
      <c r="E3" s="2"/>
      <c r="F3" s="2"/>
      <c r="G3" s="2"/>
      <c r="H3" s="2"/>
    </row>
    <row r="4" spans="1:8" x14ac:dyDescent="0.3">
      <c r="A4" s="3" t="s">
        <v>382</v>
      </c>
      <c r="B4" s="4"/>
      <c r="C4" s="4"/>
      <c r="D4" s="4"/>
      <c r="E4" s="4"/>
      <c r="F4" s="4"/>
      <c r="G4" s="2"/>
      <c r="H4" s="2"/>
    </row>
    <row r="5" spans="1:8" ht="30" customHeight="1" x14ac:dyDescent="0.3">
      <c r="A5" s="34" t="s">
        <v>383</v>
      </c>
      <c r="B5" s="58">
        <v>5</v>
      </c>
      <c r="C5" s="58">
        <v>6</v>
      </c>
      <c r="D5" s="58">
        <v>7</v>
      </c>
      <c r="E5" s="34" t="s">
        <v>384</v>
      </c>
      <c r="F5" s="34" t="s">
        <v>259</v>
      </c>
      <c r="G5" s="2"/>
      <c r="H5" s="2"/>
    </row>
    <row r="6" spans="1:8" ht="30" customHeight="1" x14ac:dyDescent="0.3">
      <c r="A6" s="43" t="s">
        <v>385</v>
      </c>
      <c r="B6" s="59" t="s">
        <v>386</v>
      </c>
      <c r="C6" s="59" t="s">
        <v>386</v>
      </c>
      <c r="D6" s="59" t="s">
        <v>386</v>
      </c>
      <c r="E6" s="60" t="str">
        <f>INDEX(B6:D6,1,MATCH(Inputs!$B$5,$B$5:$D$5,0))</f>
        <v>60</v>
      </c>
      <c r="F6" s="41" t="s">
        <v>387</v>
      </c>
      <c r="G6" s="2"/>
      <c r="H6" s="2"/>
    </row>
    <row r="7" spans="1:8" ht="30" customHeight="1" x14ac:dyDescent="0.3">
      <c r="A7" s="43" t="s">
        <v>388</v>
      </c>
      <c r="B7" s="59" t="s">
        <v>389</v>
      </c>
      <c r="C7" s="59" t="s">
        <v>389</v>
      </c>
      <c r="D7" s="59" t="s">
        <v>389</v>
      </c>
      <c r="E7" s="60" t="str">
        <f>INDEX(B7:D7,1,MATCH(Inputs!$B$5,$B$5:$D$5,0))</f>
        <v>20+5ci or 13+10ci or 0+20ci</v>
      </c>
      <c r="F7" s="41" t="s">
        <v>390</v>
      </c>
      <c r="G7" s="2"/>
      <c r="H7" s="2"/>
    </row>
    <row r="8" spans="1:8" ht="30" customHeight="1" x14ac:dyDescent="0.3">
      <c r="A8" s="43" t="s">
        <v>391</v>
      </c>
      <c r="B8" s="59" t="s">
        <v>392</v>
      </c>
      <c r="C8" s="59" t="s">
        <v>393</v>
      </c>
      <c r="D8" s="59" t="s">
        <v>394</v>
      </c>
      <c r="E8" s="60" t="str">
        <f>INDEX(B8:D8,1,MATCH(Inputs!$B$5,$B$5:$D$5,0))</f>
        <v>15 / 20</v>
      </c>
      <c r="F8" s="41" t="s">
        <v>395</v>
      </c>
      <c r="G8" s="2"/>
      <c r="H8" s="2"/>
    </row>
    <row r="9" spans="1:8" ht="30" customHeight="1" x14ac:dyDescent="0.3">
      <c r="A9" s="43" t="s">
        <v>396</v>
      </c>
      <c r="B9" s="59" t="s">
        <v>397</v>
      </c>
      <c r="C9" s="59" t="s">
        <v>397</v>
      </c>
      <c r="D9" s="59" t="s">
        <v>398</v>
      </c>
      <c r="E9" s="60" t="str">
        <f>INDEX(B9:D9,1,MATCH(Inputs!$B$5,$B$5:$D$5,0))</f>
        <v>30</v>
      </c>
      <c r="F9" s="41" t="s">
        <v>399</v>
      </c>
      <c r="G9" s="2"/>
      <c r="H9" s="2"/>
    </row>
    <row r="10" spans="1:8" x14ac:dyDescent="0.3">
      <c r="A10" s="2"/>
      <c r="B10" s="2"/>
      <c r="C10" s="2"/>
      <c r="D10" s="2"/>
      <c r="E10" s="2"/>
      <c r="F10" s="2"/>
      <c r="G10" s="2"/>
      <c r="H10" s="2"/>
    </row>
    <row r="11" spans="1:8" x14ac:dyDescent="0.3">
      <c r="A11" s="3" t="s">
        <v>400</v>
      </c>
      <c r="B11" s="4"/>
      <c r="C11" s="4"/>
      <c r="D11" s="4"/>
      <c r="E11" s="4"/>
      <c r="F11" s="4"/>
      <c r="G11" s="2"/>
      <c r="H11" s="2"/>
    </row>
    <row r="12" spans="1:8" ht="30" customHeight="1" x14ac:dyDescent="0.3">
      <c r="A12" s="34" t="s">
        <v>383</v>
      </c>
      <c r="B12" s="58">
        <v>5</v>
      </c>
      <c r="C12" s="58">
        <v>6</v>
      </c>
      <c r="D12" s="58">
        <v>7</v>
      </c>
      <c r="E12" s="34" t="s">
        <v>384</v>
      </c>
      <c r="F12" s="34" t="s">
        <v>259</v>
      </c>
      <c r="G12" s="2"/>
      <c r="H12" s="2"/>
    </row>
    <row r="13" spans="1:8" x14ac:dyDescent="0.3">
      <c r="A13" s="43" t="s">
        <v>401</v>
      </c>
      <c r="B13" s="40">
        <v>2.4E-2</v>
      </c>
      <c r="C13" s="40">
        <v>2.4E-2</v>
      </c>
      <c r="D13" s="40">
        <v>2.4E-2</v>
      </c>
      <c r="E13" s="61">
        <f>INDEX(B13:D13,1,MATCH(Inputs!$B$5,$B$5:$D$5,0))</f>
        <v>2.4E-2</v>
      </c>
      <c r="F13" s="41" t="s">
        <v>402</v>
      </c>
      <c r="G13" s="2"/>
      <c r="H13" s="2"/>
    </row>
    <row r="14" spans="1:8" x14ac:dyDescent="0.3">
      <c r="A14" s="43" t="s">
        <v>403</v>
      </c>
      <c r="B14" s="40">
        <v>4.4999999999999998E-2</v>
      </c>
      <c r="C14" s="40">
        <v>4.4999999999999998E-2</v>
      </c>
      <c r="D14" s="40">
        <v>4.4999999999999998E-2</v>
      </c>
      <c r="E14" s="61">
        <f>INDEX(B14:D14,1,MATCH(Inputs!$B$5,$B$5:$D$5,0))</f>
        <v>4.4999999999999998E-2</v>
      </c>
      <c r="F14" s="41" t="s">
        <v>404</v>
      </c>
      <c r="G14" s="2"/>
      <c r="H14" s="2"/>
    </row>
    <row r="15" spans="1:8" x14ac:dyDescent="0.3">
      <c r="A15" s="43" t="s">
        <v>405</v>
      </c>
      <c r="B15" s="40">
        <v>8.2000000000000003E-2</v>
      </c>
      <c r="C15" s="40">
        <v>0.06</v>
      </c>
      <c r="D15" s="40">
        <v>5.7000000000000002E-2</v>
      </c>
      <c r="E15" s="61">
        <f>INDEX(B15:D15,1,MATCH(Inputs!$B$5,$B$5:$D$5,0))</f>
        <v>0.06</v>
      </c>
      <c r="F15" s="41" t="s">
        <v>406</v>
      </c>
      <c r="G15" s="2"/>
      <c r="H15" s="2"/>
    </row>
    <row r="16" spans="1:8" x14ac:dyDescent="0.3">
      <c r="A16" s="43" t="s">
        <v>407</v>
      </c>
      <c r="B16" s="40">
        <v>6.5000000000000002E-2</v>
      </c>
      <c r="C16" s="40">
        <v>5.7000000000000002E-2</v>
      </c>
      <c r="D16" s="40">
        <v>5.7000000000000002E-2</v>
      </c>
      <c r="E16" s="61">
        <f>INDEX(B16:D16,1,MATCH(Inputs!$B$5,$B$5:$D$5,0))</f>
        <v>5.7000000000000002E-2</v>
      </c>
      <c r="F16" s="41" t="s">
        <v>408</v>
      </c>
      <c r="G16" s="2"/>
      <c r="H16" s="2"/>
    </row>
    <row r="17" spans="1:8" x14ac:dyDescent="0.3">
      <c r="A17" s="43" t="s">
        <v>396</v>
      </c>
      <c r="B17" s="40">
        <v>3.3000000000000002E-2</v>
      </c>
      <c r="C17" s="40">
        <v>3.3000000000000002E-2</v>
      </c>
      <c r="D17" s="40">
        <v>2.8000000000000001E-2</v>
      </c>
      <c r="E17" s="61">
        <f>INDEX(B17:D17,1,MATCH(Inputs!$B$5,$B$5:$D$5,0))</f>
        <v>3.3000000000000002E-2</v>
      </c>
      <c r="F17" s="41" t="s">
        <v>409</v>
      </c>
      <c r="G17" s="2"/>
      <c r="H17" s="2"/>
    </row>
    <row r="18" spans="1:8" x14ac:dyDescent="0.3">
      <c r="A18" s="13" t="s">
        <v>410</v>
      </c>
      <c r="B18" s="14">
        <f>IF(Inputs!$B$7=1,$E$16,$E$15)</f>
        <v>0.06</v>
      </c>
      <c r="C18" s="7" t="s">
        <v>207</v>
      </c>
      <c r="D18" s="8"/>
      <c r="E18" s="2"/>
      <c r="F18" s="2"/>
      <c r="G18" s="2"/>
      <c r="H18" s="2"/>
    </row>
    <row r="19" spans="1:8" x14ac:dyDescent="0.3">
      <c r="A19" s="2"/>
      <c r="B19" s="2"/>
      <c r="C19" s="2"/>
      <c r="D19" s="2"/>
      <c r="E19" s="2"/>
      <c r="F19" s="2"/>
      <c r="G19" s="2"/>
      <c r="H19" s="2"/>
    </row>
    <row r="20" spans="1:8" ht="30" customHeight="1" x14ac:dyDescent="0.3">
      <c r="A20" s="75" t="s">
        <v>411</v>
      </c>
      <c r="B20" s="73"/>
      <c r="C20" s="73"/>
      <c r="D20" s="73"/>
      <c r="E20" s="73"/>
      <c r="F20" s="73"/>
      <c r="G20" s="73"/>
      <c r="H20" s="73"/>
    </row>
    <row r="21" spans="1:8" x14ac:dyDescent="0.3">
      <c r="A21" s="2"/>
      <c r="B21" s="2"/>
      <c r="C21" s="2"/>
      <c r="D21" s="2"/>
      <c r="E21" s="2"/>
      <c r="F21" s="2"/>
      <c r="G21" s="2"/>
      <c r="H21" s="2"/>
    </row>
    <row r="22" spans="1:8" x14ac:dyDescent="0.3">
      <c r="A22" s="3" t="s">
        <v>412</v>
      </c>
      <c r="B22" s="4"/>
      <c r="C22" s="4"/>
      <c r="D22" s="4"/>
      <c r="E22" s="4"/>
      <c r="F22" s="4"/>
      <c r="G22" s="2"/>
      <c r="H22" s="2"/>
    </row>
    <row r="23" spans="1:8" ht="30" customHeight="1" x14ac:dyDescent="0.3">
      <c r="A23" s="34" t="s">
        <v>413</v>
      </c>
      <c r="B23" s="34" t="s">
        <v>414</v>
      </c>
      <c r="C23" s="34" t="s">
        <v>415</v>
      </c>
      <c r="D23" s="34" t="s">
        <v>416</v>
      </c>
      <c r="E23" s="34" t="s">
        <v>417</v>
      </c>
      <c r="F23" s="34" t="s">
        <v>259</v>
      </c>
      <c r="G23" s="2"/>
      <c r="H23" s="2"/>
    </row>
    <row r="24" spans="1:8" x14ac:dyDescent="0.3">
      <c r="A24" s="43" t="s">
        <v>418</v>
      </c>
      <c r="B24" s="46">
        <f>Wall!$B$23</f>
        <v>5.6056158772295264E-2</v>
      </c>
      <c r="C24" s="39">
        <f>$E$14</f>
        <v>4.4999999999999998E-2</v>
      </c>
      <c r="D24" s="62" t="str">
        <f>IF(B24&lt;=C24,"PASS","FAIL")</f>
        <v>FAIL</v>
      </c>
      <c r="E24" s="53">
        <f>MAX(0,1/C24-1/B24)</f>
        <v>4.3829691963043658</v>
      </c>
      <c r="F24" s="41" t="s">
        <v>419</v>
      </c>
      <c r="G24" s="2"/>
      <c r="H24" s="2"/>
    </row>
    <row r="25" spans="1:8" x14ac:dyDescent="0.3">
      <c r="A25" s="43" t="s">
        <v>420</v>
      </c>
      <c r="B25" s="46">
        <f>Wall!$B$23</f>
        <v>5.6056158772295264E-2</v>
      </c>
      <c r="C25" s="39">
        <f>$B$18</f>
        <v>0.06</v>
      </c>
      <c r="D25" s="62" t="str">
        <f>IF(B25&lt;=C25,"PASS","FAIL")</f>
        <v>PASS</v>
      </c>
      <c r="E25" s="53">
        <f>MAX(0,1/C25-1/B25)</f>
        <v>0</v>
      </c>
      <c r="F25" s="41" t="s">
        <v>421</v>
      </c>
      <c r="G25" s="2"/>
      <c r="H25" s="2"/>
    </row>
    <row r="26" spans="1:8" x14ac:dyDescent="0.3">
      <c r="A26" s="43" t="s">
        <v>422</v>
      </c>
      <c r="B26" s="46">
        <f>Roof!$B$23</f>
        <v>4.9650824143243052E-2</v>
      </c>
      <c r="C26" s="39">
        <f>$E$13</f>
        <v>2.4E-2</v>
      </c>
      <c r="D26" s="62" t="str">
        <f>IF(B26&lt;=C26,"PASS","FAIL")</f>
        <v>FAIL</v>
      </c>
      <c r="E26" s="53">
        <f>MAX(0,1/C26-1/B26)</f>
        <v>21.52601407417411</v>
      </c>
      <c r="F26" s="41" t="s">
        <v>423</v>
      </c>
      <c r="G26" s="2"/>
      <c r="H26" s="2"/>
    </row>
    <row r="27" spans="1:8" x14ac:dyDescent="0.3">
      <c r="A27" s="43" t="s">
        <v>424</v>
      </c>
      <c r="B27" s="46">
        <f>Roof!$B$48</f>
        <v>5.2899613489083099E-2</v>
      </c>
      <c r="C27" s="39">
        <f>$E$13</f>
        <v>2.4E-2</v>
      </c>
      <c r="D27" s="62" t="str">
        <f>IF(B27&lt;=C27,"PASS","FAIL")</f>
        <v>FAIL</v>
      </c>
      <c r="E27" s="53">
        <f>MAX(0,1/C27-1/B27)</f>
        <v>22.76293686519335</v>
      </c>
      <c r="F27" s="41" t="s">
        <v>425</v>
      </c>
      <c r="G27" s="2"/>
      <c r="H27" s="2"/>
    </row>
    <row r="28" spans="1:8" x14ac:dyDescent="0.3">
      <c r="A28" s="43" t="s">
        <v>426</v>
      </c>
      <c r="B28" s="46">
        <f>Floor!$B$21</f>
        <v>8.6279829663154478E-2</v>
      </c>
      <c r="C28" s="39">
        <f>$E$17</f>
        <v>3.3000000000000002E-2</v>
      </c>
      <c r="D28" s="62" t="str">
        <f>IF(B28&lt;=C28,"PASS","FAIL")</f>
        <v>FAIL</v>
      </c>
      <c r="E28" s="53">
        <f>MAX(0,1/C28-1/B28)</f>
        <v>18.712835886744301</v>
      </c>
      <c r="F28" s="41" t="s">
        <v>427</v>
      </c>
      <c r="G28" s="2"/>
      <c r="H28" s="2"/>
    </row>
    <row r="29" spans="1:8" x14ac:dyDescent="0.3">
      <c r="A29" s="2"/>
      <c r="B29" s="2"/>
      <c r="C29" s="2"/>
      <c r="D29" s="2"/>
      <c r="E29" s="2"/>
      <c r="F29" s="2"/>
      <c r="G29" s="2"/>
      <c r="H29" s="2"/>
    </row>
    <row r="30" spans="1:8" ht="45" customHeight="1" x14ac:dyDescent="0.3">
      <c r="A30" s="72" t="s">
        <v>428</v>
      </c>
      <c r="B30" s="73"/>
      <c r="C30" s="73"/>
      <c r="D30" s="73"/>
      <c r="E30" s="73"/>
      <c r="F30" s="73"/>
      <c r="G30" s="2"/>
      <c r="H30" s="2"/>
    </row>
    <row r="31" spans="1:8" x14ac:dyDescent="0.3">
      <c r="A31" s="2"/>
      <c r="B31" s="2"/>
      <c r="C31" s="2"/>
      <c r="D31" s="2"/>
      <c r="E31" s="2"/>
      <c r="F31" s="2"/>
      <c r="G31" s="2"/>
      <c r="H31" s="2"/>
    </row>
    <row r="32" spans="1:8" x14ac:dyDescent="0.3">
      <c r="A32" s="3" t="s">
        <v>429</v>
      </c>
      <c r="B32" s="4"/>
      <c r="C32" s="4"/>
      <c r="D32" s="4"/>
      <c r="E32" s="4"/>
      <c r="F32" s="4"/>
      <c r="G32" s="2"/>
      <c r="H32" s="2"/>
    </row>
    <row r="33" spans="1:8" ht="30" customHeight="1" x14ac:dyDescent="0.3">
      <c r="A33" s="34" t="s">
        <v>383</v>
      </c>
      <c r="B33" s="58">
        <v>5</v>
      </c>
      <c r="C33" s="58">
        <v>6</v>
      </c>
      <c r="D33" s="58">
        <v>7</v>
      </c>
      <c r="E33" s="34" t="s">
        <v>384</v>
      </c>
      <c r="F33" s="34" t="s">
        <v>259</v>
      </c>
      <c r="G33" s="2"/>
      <c r="H33" s="2"/>
    </row>
    <row r="34" spans="1:8" ht="22.8" x14ac:dyDescent="0.3">
      <c r="A34" s="43" t="s">
        <v>430</v>
      </c>
      <c r="B34" s="40">
        <v>3.2000000000000001E-2</v>
      </c>
      <c r="C34" s="40">
        <v>3.2000000000000001E-2</v>
      </c>
      <c r="D34" s="40">
        <v>2.8000000000000001E-2</v>
      </c>
      <c r="E34" s="61">
        <f>INDEX(B34:D34,1,MATCH(Inputs!$B$5,$B$5:$D$5,0))</f>
        <v>3.2000000000000001E-2</v>
      </c>
      <c r="F34" s="41" t="s">
        <v>431</v>
      </c>
      <c r="G34" s="2"/>
      <c r="H34" s="2"/>
    </row>
    <row r="35" spans="1:8" x14ac:dyDescent="0.3">
      <c r="A35" s="43" t="s">
        <v>432</v>
      </c>
      <c r="B35" s="40">
        <v>0.09</v>
      </c>
      <c r="C35" s="40">
        <v>0.09</v>
      </c>
      <c r="D35" s="40">
        <v>7.0999999999999994E-2</v>
      </c>
      <c r="E35" s="61">
        <f>INDEX(B35:D35,1,MATCH(Inputs!$B$5,$B$5:$D$5,0))</f>
        <v>0.09</v>
      </c>
      <c r="F35" s="41" t="s">
        <v>433</v>
      </c>
      <c r="G35" s="2"/>
      <c r="H35" s="2"/>
    </row>
    <row r="36" spans="1:8" x14ac:dyDescent="0.3">
      <c r="A36" s="43" t="s">
        <v>434</v>
      </c>
      <c r="B36" s="40">
        <v>5.0999999999999997E-2</v>
      </c>
      <c r="C36" s="40">
        <v>5.0999999999999997E-2</v>
      </c>
      <c r="D36" s="40">
        <v>5.0999999999999997E-2</v>
      </c>
      <c r="E36" s="61">
        <f>INDEX(B36:D36,1,MATCH(Inputs!$B$5,$B$5:$D$5,0))</f>
        <v>5.0999999999999997E-2</v>
      </c>
      <c r="F36" s="41" t="s">
        <v>435</v>
      </c>
      <c r="G36" s="2"/>
      <c r="H36" s="2"/>
    </row>
    <row r="37" spans="1:8" x14ac:dyDescent="0.3">
      <c r="A37" s="2"/>
      <c r="B37" s="2"/>
      <c r="C37" s="2"/>
      <c r="D37" s="2"/>
      <c r="E37" s="2"/>
      <c r="F37" s="2"/>
      <c r="G37" s="2"/>
      <c r="H37" s="2"/>
    </row>
    <row r="38" spans="1:8" ht="30" customHeight="1" x14ac:dyDescent="0.3">
      <c r="A38" s="34" t="s">
        <v>436</v>
      </c>
      <c r="B38" s="34" t="s">
        <v>414</v>
      </c>
      <c r="C38" s="34" t="s">
        <v>437</v>
      </c>
      <c r="D38" s="34" t="s">
        <v>416</v>
      </c>
      <c r="E38" s="34" t="s">
        <v>438</v>
      </c>
      <c r="F38" s="34" t="s">
        <v>259</v>
      </c>
      <c r="G38" s="2"/>
      <c r="H38" s="2"/>
    </row>
    <row r="39" spans="1:8" ht="30" customHeight="1" x14ac:dyDescent="0.3">
      <c r="A39" s="43" t="s">
        <v>439</v>
      </c>
      <c r="B39" s="46">
        <f>Wall!$B$23</f>
        <v>5.6056158772295264E-2</v>
      </c>
      <c r="C39" s="39">
        <f>$E$35</f>
        <v>0.09</v>
      </c>
      <c r="D39" s="62" t="str">
        <f>IF(B39&lt;=C39,"PASS","FAIL")</f>
        <v>PASS</v>
      </c>
      <c r="E39" s="53">
        <f>MAX(0,1/C39-1/B39)</f>
        <v>0</v>
      </c>
      <c r="F39" s="41" t="s">
        <v>440</v>
      </c>
      <c r="G39" s="2"/>
      <c r="H39" s="2"/>
    </row>
    <row r="40" spans="1:8" ht="30" customHeight="1" x14ac:dyDescent="0.3">
      <c r="A40" s="43" t="s">
        <v>441</v>
      </c>
      <c r="B40" s="46">
        <f>Roof!$B$48</f>
        <v>5.2899613489083099E-2</v>
      </c>
      <c r="C40" s="39">
        <f>$E$34</f>
        <v>3.2000000000000001E-2</v>
      </c>
      <c r="D40" s="62" t="str">
        <f>IF(B40&lt;=C40,"PASS","FAIL")</f>
        <v>FAIL</v>
      </c>
      <c r="E40" s="53">
        <f>MAX(0,1/C40-1/B40)</f>
        <v>12.346270198526685</v>
      </c>
      <c r="F40" s="41"/>
      <c r="G40" s="2"/>
      <c r="H40" s="2"/>
    </row>
    <row r="41" spans="1:8" ht="30" customHeight="1" x14ac:dyDescent="0.3">
      <c r="A41" s="43" t="s">
        <v>442</v>
      </c>
      <c r="B41" s="46">
        <f>Floor!$B$21</f>
        <v>8.6279829663154478E-2</v>
      </c>
      <c r="C41" s="39">
        <f>$E$36</f>
        <v>5.0999999999999997E-2</v>
      </c>
      <c r="D41" s="62" t="str">
        <f>IF(B41&lt;=C41,"PASS","FAIL")</f>
        <v>FAIL</v>
      </c>
      <c r="E41" s="53">
        <f>MAX(0,1/C41-1/B41)</f>
        <v>8.0176487209689054</v>
      </c>
      <c r="F41" s="41"/>
      <c r="G41" s="2"/>
      <c r="H41" s="2"/>
    </row>
    <row r="42" spans="1:8" x14ac:dyDescent="0.3">
      <c r="A42" s="2"/>
      <c r="B42" s="2"/>
      <c r="C42" s="2"/>
      <c r="D42" s="2"/>
      <c r="E42" s="2"/>
      <c r="F42" s="2"/>
      <c r="G42" s="2"/>
      <c r="H42" s="2"/>
    </row>
    <row r="43" spans="1:8" ht="70.05" customHeight="1" x14ac:dyDescent="0.3">
      <c r="A43" s="72" t="s">
        <v>443</v>
      </c>
      <c r="B43" s="73"/>
      <c r="C43" s="73"/>
      <c r="D43" s="73"/>
      <c r="E43" s="73"/>
      <c r="F43" s="73"/>
      <c r="G43" s="2"/>
      <c r="H43" s="2"/>
    </row>
  </sheetData>
  <mergeCells count="4">
    <mergeCell ref="A30:F30"/>
    <mergeCell ref="A20:H20"/>
    <mergeCell ref="A2:H2"/>
    <mergeCell ref="A43:F43"/>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95"/>
  <sheetViews>
    <sheetView showGridLines="0" workbookViewId="0">
      <pane ySplit="3" topLeftCell="A4" activePane="bottomLeft" state="frozen"/>
      <selection pane="bottomLeft"/>
    </sheetView>
  </sheetViews>
  <sheetFormatPr defaultRowHeight="14.4" x14ac:dyDescent="0.3"/>
  <cols>
    <col min="1" max="1" width="56" customWidth="1"/>
    <col min="2" max="5" width="14" customWidth="1"/>
    <col min="6" max="6" width="16" customWidth="1"/>
    <col min="7" max="7" width="46" customWidth="1"/>
    <col min="8" max="8" width="16" customWidth="1"/>
    <col min="9" max="9" width="40" customWidth="1"/>
  </cols>
  <sheetData>
    <row r="1" spans="1:9" ht="17.399999999999999" x14ac:dyDescent="0.3">
      <c r="A1" s="1" t="s">
        <v>444</v>
      </c>
      <c r="B1" s="2"/>
      <c r="C1" s="2"/>
      <c r="D1" s="2"/>
      <c r="E1" s="2"/>
      <c r="F1" s="2"/>
      <c r="G1" s="2"/>
      <c r="H1" s="2"/>
      <c r="I1" s="2"/>
    </row>
    <row r="2" spans="1:9" ht="43.95" customHeight="1" x14ac:dyDescent="0.3">
      <c r="A2" s="74" t="s">
        <v>445</v>
      </c>
      <c r="B2" s="73"/>
      <c r="C2" s="73"/>
      <c r="D2" s="73"/>
      <c r="E2" s="73"/>
      <c r="F2" s="73"/>
      <c r="G2" s="73"/>
      <c r="H2" s="73"/>
      <c r="I2" s="2"/>
    </row>
    <row r="3" spans="1:9" x14ac:dyDescent="0.3">
      <c r="A3" s="2"/>
      <c r="B3" s="2"/>
      <c r="C3" s="2"/>
      <c r="D3" s="2"/>
      <c r="E3" s="2"/>
      <c r="F3" s="2"/>
      <c r="G3" s="2"/>
      <c r="H3" s="2"/>
      <c r="I3" s="2"/>
    </row>
    <row r="4" spans="1:9" x14ac:dyDescent="0.3">
      <c r="A4" s="3" t="s">
        <v>446</v>
      </c>
      <c r="B4" s="4"/>
      <c r="C4" s="4"/>
      <c r="D4" s="4"/>
      <c r="E4" s="4"/>
      <c r="F4" s="4"/>
      <c r="G4" s="4"/>
      <c r="H4" s="2"/>
      <c r="I4" s="2"/>
    </row>
    <row r="5" spans="1:9" ht="30" customHeight="1" x14ac:dyDescent="0.3">
      <c r="A5" s="34" t="s">
        <v>447</v>
      </c>
      <c r="B5" s="34" t="s">
        <v>448</v>
      </c>
      <c r="C5" s="34" t="s">
        <v>449</v>
      </c>
      <c r="D5" s="34" t="s">
        <v>450</v>
      </c>
      <c r="E5" s="34" t="s">
        <v>451</v>
      </c>
      <c r="F5" s="34" t="s">
        <v>452</v>
      </c>
      <c r="G5" s="34" t="s">
        <v>453</v>
      </c>
      <c r="H5" s="2"/>
      <c r="I5" s="2"/>
    </row>
    <row r="6" spans="1:9" ht="30" customHeight="1" x14ac:dyDescent="0.3">
      <c r="A6" s="43" t="s">
        <v>454</v>
      </c>
      <c r="B6" s="45">
        <f>Code!$E$24</f>
        <v>4.3829691963043658</v>
      </c>
      <c r="C6" s="45">
        <f>B6/Inputs!$B$106</f>
        <v>1.1534129463958858</v>
      </c>
      <c r="D6" s="45">
        <f>B6/Inputs!$B$107</f>
        <v>0.8765938392608732</v>
      </c>
      <c r="E6" s="53">
        <f>B6/Inputs!$B$108</f>
        <v>0.73049486605072766</v>
      </c>
      <c r="F6" s="45">
        <f>B6/Inputs!$B$109</f>
        <v>1.0435640943581823</v>
      </c>
      <c r="G6" s="41" t="str">
        <f>"Wall "&amp;TEXT(Inputs!$B$45+E6,"0.0")&amp;""" with polyiso ("&amp;TEXT(Inputs!$B$45+C6,"0.0")&amp;""" with EPS); +"&amp;TEXT(E6*Inputs!$B$112,"0.00")&amp;" psf polyiso, +"&amp;TEXT(C6*Inputs!$B$110,"0.00")&amp;" psf EPS"</f>
        <v>Wall 12.2" with polyiso (12.7" with EPS); +0.12 psf polyiso, +0.09 psf EPS</v>
      </c>
      <c r="H6" s="2"/>
      <c r="I6" s="2"/>
    </row>
    <row r="7" spans="1:9" ht="30" customHeight="1" x14ac:dyDescent="0.3">
      <c r="A7" s="43" t="s">
        <v>455</v>
      </c>
      <c r="B7" s="45">
        <f>Code!$E$25</f>
        <v>0</v>
      </c>
      <c r="C7" s="45">
        <f>B7/Inputs!$B$106</f>
        <v>0</v>
      </c>
      <c r="D7" s="45">
        <f>B7/Inputs!$B$107</f>
        <v>0</v>
      </c>
      <c r="E7" s="53">
        <f>B7/Inputs!$B$108</f>
        <v>0</v>
      </c>
      <c r="F7" s="45">
        <f>B7/Inputs!$B$109</f>
        <v>0</v>
      </c>
      <c r="G7" s="41" t="str">
        <f>"Wall "&amp;TEXT(Inputs!$B$45+E7,"0.0")&amp;""" with polyiso ("&amp;TEXT(Inputs!$B$45+C7,"0.0")&amp;""" with EPS); +"&amp;TEXT(E7*Inputs!$B$112,"0.00")&amp;" psf polyiso, +"&amp;TEXT(C7*Inputs!$B$110,"0.00")&amp;" psf EPS"</f>
        <v>Wall 11.5" with polyiso (11.5" with EPS); +0.00 psf polyiso, +0.00 psf EPS</v>
      </c>
      <c r="H7" s="2"/>
      <c r="I7" s="2"/>
    </row>
    <row r="8" spans="1:9" ht="30" customHeight="1" x14ac:dyDescent="0.3">
      <c r="A8" s="43" t="s">
        <v>456</v>
      </c>
      <c r="B8" s="45">
        <f>Code!$E$26</f>
        <v>21.52601407417411</v>
      </c>
      <c r="C8" s="45">
        <f>B8/Inputs!$B$106</f>
        <v>5.6647405458352926</v>
      </c>
      <c r="D8" s="45">
        <f>B8/Inputs!$B$107</f>
        <v>4.3052028148348223</v>
      </c>
      <c r="E8" s="53">
        <f>B8/Inputs!$B$108</f>
        <v>3.5876690123623516</v>
      </c>
      <c r="F8" s="45">
        <f>B8/Inputs!$B$109</f>
        <v>5.1252414462319305</v>
      </c>
      <c r="G8" s="41" t="str">
        <f>"Roof +"&amp;TEXT(E8,"0.0")&amp;""" polyiso above the deck under the membrane (or "&amp;TEXT(C8,"0.0")&amp;""" EPS); +"&amp;TEXT(E8*Inputs!$B$112,"0.00")&amp;" psf"</f>
        <v>Roof +3.6" polyiso above the deck under the membrane (or 5.7" EPS); +0.61 psf</v>
      </c>
      <c r="H8" s="2"/>
      <c r="I8" s="2"/>
    </row>
    <row r="9" spans="1:9" ht="30" customHeight="1" x14ac:dyDescent="0.3">
      <c r="A9" s="43" t="s">
        <v>457</v>
      </c>
      <c r="B9" s="45">
        <f>Code!$E$39</f>
        <v>0</v>
      </c>
      <c r="C9" s="45">
        <f>B9/Inputs!$B$106</f>
        <v>0</v>
      </c>
      <c r="D9" s="45">
        <f>B9/Inputs!$B$107</f>
        <v>0</v>
      </c>
      <c r="E9" s="53">
        <f>B9/Inputs!$B$108</f>
        <v>0</v>
      </c>
      <c r="F9" s="45">
        <f>B9/Inputs!$B$109</f>
        <v>0</v>
      </c>
      <c r="G9" s="41" t="str">
        <f>"Wall "&amp;TEXT(Inputs!$B$45+E9,"0.0")&amp;""" with polyiso ("&amp;TEXT(Inputs!$B$45+C9,"0.0")&amp;""" with EPS); +"&amp;TEXT(E9*Inputs!$B$112,"0.00")&amp;" psf polyiso, +"&amp;TEXT(C9*Inputs!$B$110,"0.00")&amp;" psf EPS"</f>
        <v>Wall 11.5" with polyiso (11.5" with EPS); +0.00 psf polyiso, +0.00 psf EPS</v>
      </c>
      <c r="H9" s="2"/>
      <c r="I9" s="2"/>
    </row>
    <row r="10" spans="1:9" ht="30" customHeight="1" x14ac:dyDescent="0.3">
      <c r="A10" s="43" t="s">
        <v>458</v>
      </c>
      <c r="B10" s="45">
        <f>Code!$E$40</f>
        <v>12.346270198526685</v>
      </c>
      <c r="C10" s="45">
        <f>B10/Inputs!$B$106</f>
        <v>3.2490184732964962</v>
      </c>
      <c r="D10" s="45">
        <f>B10/Inputs!$B$107</f>
        <v>2.4692540397053371</v>
      </c>
      <c r="E10" s="53">
        <f>B10/Inputs!$B$108</f>
        <v>2.0577116997544476</v>
      </c>
      <c r="F10" s="45">
        <f>B10/Inputs!$B$109</f>
        <v>2.9395881425063535</v>
      </c>
      <c r="G10" s="41" t="str">
        <f>"Roof +"&amp;TEXT(E10,"0.0")&amp;""" polyiso above the deck under the membrane (or "&amp;TEXT(C10,"0.0")&amp;""" EPS); +"&amp;TEXT(E10*Inputs!$B$112,"0.00")&amp;" psf"</f>
        <v>Roof +2.1" polyiso above the deck under the membrane (or 3.2" EPS); +0.35 psf</v>
      </c>
      <c r="H10" s="2"/>
      <c r="I10" s="2"/>
    </row>
    <row r="11" spans="1:9" ht="30" customHeight="1" x14ac:dyDescent="0.3">
      <c r="A11" s="43" t="s">
        <v>459</v>
      </c>
      <c r="B11" s="45">
        <f>Code!$E$41</f>
        <v>8.0176487209689054</v>
      </c>
      <c r="C11" s="45">
        <f>B11/Inputs!$B$106</f>
        <v>2.109907558149712</v>
      </c>
      <c r="D11" s="45">
        <f>B11/Inputs!$B$107</f>
        <v>1.603529744193781</v>
      </c>
      <c r="E11" s="53">
        <f>B11/Inputs!$B$108</f>
        <v>1.3362747868281508</v>
      </c>
      <c r="F11" s="45">
        <f>B11/Inputs!$B$109</f>
        <v>1.9089639811830725</v>
      </c>
      <c r="G11" s="41" t="str">
        <f>"Floor +"&amp;TEXT(E11,"0.0")&amp;""" polyiso under the pour between the stud legs (3"" is available before the skid top); +"&amp;TEXT(E11*Inputs!$B$112,"0.00")&amp;" psf"</f>
        <v>Floor +1.3" polyiso under the pour between the stud legs (3" is available before the skid top); +0.23 psf</v>
      </c>
      <c r="H11" s="2"/>
      <c r="I11" s="2"/>
    </row>
    <row r="12" spans="1:9" x14ac:dyDescent="0.3">
      <c r="A12" s="2"/>
      <c r="B12" s="2"/>
      <c r="C12" s="2"/>
      <c r="D12" s="2"/>
      <c r="E12" s="2"/>
      <c r="F12" s="2"/>
      <c r="G12" s="2"/>
      <c r="H12" s="2"/>
      <c r="I12" s="2"/>
    </row>
    <row r="13" spans="1:9" ht="70.05" customHeight="1" x14ac:dyDescent="0.3">
      <c r="A13" s="72" t="s">
        <v>460</v>
      </c>
      <c r="B13" s="73"/>
      <c r="C13" s="73"/>
      <c r="D13" s="73"/>
      <c r="E13" s="73"/>
      <c r="F13" s="73"/>
      <c r="G13" s="73"/>
      <c r="H13" s="2"/>
      <c r="I13" s="2"/>
    </row>
    <row r="14" spans="1:9" x14ac:dyDescent="0.3">
      <c r="A14" s="3" t="s">
        <v>461</v>
      </c>
      <c r="B14" s="4"/>
      <c r="C14" s="4"/>
      <c r="D14" s="4"/>
      <c r="E14" s="4"/>
      <c r="F14" s="4"/>
      <c r="G14" s="4"/>
      <c r="H14" s="2"/>
      <c r="I14" s="2"/>
    </row>
    <row r="15" spans="1:9" x14ac:dyDescent="0.3">
      <c r="A15" s="5" t="s">
        <v>462</v>
      </c>
      <c r="B15" s="20">
        <f>E7</f>
        <v>0</v>
      </c>
      <c r="C15" s="7" t="s">
        <v>62</v>
      </c>
      <c r="D15" s="8"/>
      <c r="E15" s="2"/>
      <c r="F15" s="2"/>
      <c r="G15" s="2"/>
      <c r="H15" s="2"/>
      <c r="I15" s="2"/>
    </row>
    <row r="16" spans="1:9" x14ac:dyDescent="0.3">
      <c r="A16" s="5" t="s">
        <v>463</v>
      </c>
      <c r="B16" s="20">
        <f>$B$15*Inputs!$B$108</f>
        <v>0</v>
      </c>
      <c r="C16" s="7" t="s">
        <v>141</v>
      </c>
      <c r="D16" s="8"/>
      <c r="E16" s="2"/>
      <c r="F16" s="2"/>
      <c r="G16" s="2"/>
      <c r="H16" s="2"/>
      <c r="I16" s="2"/>
    </row>
    <row r="17" spans="1:9" ht="22.8" x14ac:dyDescent="0.3">
      <c r="A17" s="5" t="s">
        <v>464</v>
      </c>
      <c r="B17" s="32">
        <f>Inputs!$B$63/(Wall!$F$13+$B$16)+(1-Inputs!$B$63)/(Wall!$E$13+$B$16)</f>
        <v>4.6217101326631788E-2</v>
      </c>
      <c r="C17" s="7" t="s">
        <v>207</v>
      </c>
      <c r="D17" s="8" t="s">
        <v>465</v>
      </c>
      <c r="E17" s="2"/>
      <c r="F17" s="2"/>
      <c r="G17" s="2"/>
      <c r="H17" s="2"/>
      <c r="I17" s="2"/>
    </row>
    <row r="18" spans="1:9" x14ac:dyDescent="0.3">
      <c r="A18" s="5" t="s">
        <v>466</v>
      </c>
      <c r="B18" s="32">
        <f>1/(Wall!$B$21+$B$16)</f>
        <v>6.5895216217958741E-2</v>
      </c>
      <c r="C18" s="7" t="s">
        <v>207</v>
      </c>
      <c r="D18" s="8"/>
      <c r="E18" s="2"/>
      <c r="F18" s="2"/>
      <c r="G18" s="2"/>
      <c r="H18" s="2"/>
      <c r="I18" s="2"/>
    </row>
    <row r="19" spans="1:9" x14ac:dyDescent="0.3">
      <c r="A19" s="5" t="s">
        <v>467</v>
      </c>
      <c r="B19" s="32">
        <f>CHOOSE(Inputs!$B$6,$B$17,$B$18,($B$17+$B$18)/2)</f>
        <v>5.6056158772295264E-2</v>
      </c>
      <c r="C19" s="7" t="s">
        <v>207</v>
      </c>
      <c r="D19" s="8"/>
      <c r="E19" s="2"/>
      <c r="F19" s="2"/>
      <c r="G19" s="2"/>
      <c r="H19" s="2"/>
      <c r="I19" s="2"/>
    </row>
    <row r="20" spans="1:9" x14ac:dyDescent="0.3">
      <c r="A20" s="5" t="s">
        <v>468</v>
      </c>
      <c r="B20" s="15">
        <f>Code!$B$18</f>
        <v>0.06</v>
      </c>
      <c r="C20" s="7" t="s">
        <v>207</v>
      </c>
      <c r="D20" s="8"/>
      <c r="E20" s="2"/>
      <c r="F20" s="2"/>
      <c r="G20" s="2"/>
      <c r="H20" s="2"/>
      <c r="I20" s="2"/>
    </row>
    <row r="21" spans="1:9" x14ac:dyDescent="0.3">
      <c r="A21" s="13" t="s">
        <v>469</v>
      </c>
      <c r="B21" s="18" t="str">
        <f>IF($B$19&lt;=$B$20,"PASS","FAIL (the series estimate was a hair short)")</f>
        <v>PASS</v>
      </c>
      <c r="C21" s="7"/>
      <c r="D21" s="8"/>
      <c r="E21" s="2"/>
      <c r="F21" s="2"/>
      <c r="G21" s="2"/>
      <c r="H21" s="2"/>
      <c r="I21" s="2"/>
    </row>
    <row r="22" spans="1:9" x14ac:dyDescent="0.3">
      <c r="A22" s="2"/>
      <c r="B22" s="2"/>
      <c r="C22" s="2"/>
      <c r="D22" s="2"/>
      <c r="E22" s="2"/>
      <c r="F22" s="2"/>
      <c r="G22" s="2"/>
      <c r="H22" s="2"/>
      <c r="I22" s="2"/>
    </row>
    <row r="23" spans="1:9" x14ac:dyDescent="0.3">
      <c r="A23" s="3" t="s">
        <v>470</v>
      </c>
      <c r="B23" s="4"/>
      <c r="C23" s="4"/>
      <c r="D23" s="4"/>
      <c r="E23" s="4"/>
      <c r="F23" s="4"/>
      <c r="G23" s="4"/>
      <c r="H23" s="2"/>
      <c r="I23" s="2"/>
    </row>
    <row r="24" spans="1:9" ht="30" customHeight="1" x14ac:dyDescent="0.3">
      <c r="A24" s="72" t="s">
        <v>471</v>
      </c>
      <c r="B24" s="73"/>
      <c r="C24" s="73"/>
      <c r="D24" s="73"/>
      <c r="E24" s="73"/>
      <c r="F24" s="73"/>
      <c r="G24" s="73"/>
      <c r="H24" s="73"/>
      <c r="I24" s="73"/>
    </row>
    <row r="25" spans="1:9" ht="30" customHeight="1" x14ac:dyDescent="0.3">
      <c r="A25" s="34" t="s">
        <v>370</v>
      </c>
      <c r="B25" s="34" t="s">
        <v>472</v>
      </c>
      <c r="C25" s="34" t="s">
        <v>473</v>
      </c>
      <c r="D25" s="34" t="s">
        <v>474</v>
      </c>
      <c r="E25" s="34" t="s">
        <v>475</v>
      </c>
      <c r="F25" s="34" t="s">
        <v>476</v>
      </c>
      <c r="G25" s="34" t="s">
        <v>477</v>
      </c>
      <c r="H25" s="34" t="s">
        <v>341</v>
      </c>
      <c r="I25" s="34" t="s">
        <v>478</v>
      </c>
    </row>
    <row r="26" spans="1:9" x14ac:dyDescent="0.3">
      <c r="A26" s="35">
        <v>30</v>
      </c>
      <c r="B26" s="39">
        <f>IF(A26=Inputs!$B$11,Inputs!$B$30,'k-values'!$B$10*A26^'k-values'!$B$9*(1+Inputs!$B$12))</f>
        <v>0.47619047619047616</v>
      </c>
      <c r="C26" s="45">
        <f>(Inputs!$B$100+Inputs!$B$101+(Inputs!$B$38+Inputs!$B$39+Inputs!$B$43+Inputs!$B$42)/Inputs!$B$29)+Inputs!$B$44/B26</f>
        <v>25</v>
      </c>
      <c r="D26" s="45">
        <f>1/(Inputs!$B$63/(Inputs!$B$100+Inputs!$B$101+(Inputs!$B$38+Inputs!$B$39+Inputs!$B$42)/Inputs!$B$29+Inputs!$B$40/Inputs!$B$94)+(1-Inputs!$B$63)/C26)</f>
        <v>21.637012519081711</v>
      </c>
      <c r="E26" s="45">
        <f>(Inputs!$B$100+Inputs!$B$101+(Inputs!$B$38+Inputs!$B$39+Inputs!$B$42)/Inputs!$B$29)+(1/(Inputs!$B$64*Inputs!$B$94/Inputs!$B$43+(1-Inputs!$B$64)*Inputs!$B$29/Inputs!$B$43))+(1/(Inputs!$B$64*Inputs!$B$94/Inputs!$B$44+(1-Inputs!$B$64)*B26/Inputs!$B$44))</f>
        <v>15.175608449213421</v>
      </c>
      <c r="F26" s="48">
        <f>1/CHOOSE(Inputs!$B$6,1/D26,1/E26,(1/D26+1/E26)/2)</f>
        <v>17.839253025917852</v>
      </c>
      <c r="G26" s="46">
        <f>1/F26</f>
        <v>5.6056158772295271E-2</v>
      </c>
      <c r="H26" s="45">
        <f>(Inputs!$B$38+Inputs!$B$39+Inputs!$B$43+Inputs!$B$42)/12*Inputs!$B$10*Inputs!$B$95+Inputs!$B$44/12*A26*Inputs!$B$95+Inputs!$B$97*Inputs!$B$96</f>
        <v>6.5133333333333336</v>
      </c>
      <c r="I26" s="63" t="str">
        <f>IF(G26&lt;=Code!$B$18,"PASS","FAIL: needs R "&amp;TEXT(1/Code!$B$18-F26,"0.0")&amp;" more")&amp;IF(H26&lt;'Mass wall'!$B$16,"; NOT a mass wall at this fill","")</f>
        <v>PASS</v>
      </c>
    </row>
    <row r="27" spans="1:9" x14ac:dyDescent="0.3">
      <c r="A27" s="35">
        <v>25</v>
      </c>
      <c r="B27" s="39">
        <f>IF(A27=Inputs!$B$11,Inputs!$B$30,'k-values'!$B$10*A27^'k-values'!$B$9*(1+Inputs!$B$12))</f>
        <v>0.88483820521392587</v>
      </c>
      <c r="C27" s="45">
        <f>(Inputs!$B$100+Inputs!$B$101+(Inputs!$B$38+Inputs!$B$39+Inputs!$B$43+Inputs!$B$42)/Inputs!$B$29)+Inputs!$B$44/B27</f>
        <v>20.635675520658651</v>
      </c>
      <c r="D27" s="45">
        <f>1/(Inputs!$B$63/(Inputs!$B$100+Inputs!$B$101+(Inputs!$B$38+Inputs!$B$39+Inputs!$B$42)/Inputs!$B$29+Inputs!$B$40/Inputs!$B$94)+(1-Inputs!$B$63)/C27)</f>
        <v>18.733995852941643</v>
      </c>
      <c r="E27" s="45">
        <f>(Inputs!$B$100+Inputs!$B$101+(Inputs!$B$38+Inputs!$B$39+Inputs!$B$42)/Inputs!$B$29)+(1/(Inputs!$B$64*Inputs!$B$94/Inputs!$B$43+(1-Inputs!$B$64)*Inputs!$B$29/Inputs!$B$43))+(1/(Inputs!$B$64*Inputs!$B$94/Inputs!$B$44+(1-Inputs!$B$64)*B27/Inputs!$B$44))</f>
        <v>14.846143691946649</v>
      </c>
      <c r="F27" s="48">
        <f>1/CHOOSE(Inputs!$B$6,1/D27,1/E27,(1/D27+1/E27)/2)</f>
        <v>16.56500527553299</v>
      </c>
      <c r="G27" s="46">
        <f>1/F27</f>
        <v>6.0368227076693419E-2</v>
      </c>
      <c r="H27" s="45">
        <f>(Inputs!$B$38+Inputs!$B$39+Inputs!$B$43+Inputs!$B$42)/12*Inputs!$B$10*Inputs!$B$95+Inputs!$B$44/12*A27*Inputs!$B$95+Inputs!$B$97*Inputs!$B$96</f>
        <v>6.1383333333333336</v>
      </c>
      <c r="I27" s="63" t="str">
        <f>IF(G27&lt;=Code!$B$18,"PASS","FAIL: needs R "&amp;TEXT(1/Code!$B$18-F27,"0.0")&amp;" more")&amp;IF(H27&lt;'Mass wall'!$B$16,"; NOT a mass wall at this fill","")</f>
        <v>FAIL: needs R 0.1 more</v>
      </c>
    </row>
    <row r="28" spans="1:9" x14ac:dyDescent="0.3">
      <c r="A28" s="35">
        <v>20</v>
      </c>
      <c r="B28" s="39">
        <f>IF(A28=Inputs!$B$11,Inputs!$B$30,'k-values'!$B$10*A28^'k-values'!$B$9*(1+Inputs!$B$12))</f>
        <v>0.6759999999999996</v>
      </c>
      <c r="C28" s="45">
        <f>(Inputs!$B$100+Inputs!$B$101+(Inputs!$B$38+Inputs!$B$39+Inputs!$B$43+Inputs!$B$42)/Inputs!$B$29)+Inputs!$B$44/B28</f>
        <v>22.206804733727814</v>
      </c>
      <c r="D28" s="45">
        <f>1/(Inputs!$B$63/(Inputs!$B$100+Inputs!$B$101+(Inputs!$B$38+Inputs!$B$39+Inputs!$B$42)/Inputs!$B$29+Inputs!$B$40/Inputs!$B$94)+(1-Inputs!$B$63)/C28)</f>
        <v>19.811236210770854</v>
      </c>
      <c r="E28" s="45">
        <f>(Inputs!$B$100+Inputs!$B$101+(Inputs!$B$38+Inputs!$B$39+Inputs!$B$42)/Inputs!$B$29)+(1/(Inputs!$B$64*Inputs!$B$94/Inputs!$B$43+(1-Inputs!$B$64)*Inputs!$B$29/Inputs!$B$43))+(1/(Inputs!$B$64*Inputs!$B$94/Inputs!$B$44+(1-Inputs!$B$64)*B28/Inputs!$B$44))</f>
        <v>15.000339632319106</v>
      </c>
      <c r="F28" s="48">
        <f>1/CHOOSE(Inputs!$B$6,1/D28,1/E28,(1/D28+1/E28)/2)</f>
        <v>17.073359335248263</v>
      </c>
      <c r="G28" s="46">
        <f>1/F28</f>
        <v>5.8570781552959042E-2</v>
      </c>
      <c r="H28" s="45">
        <f>(Inputs!$B$38+Inputs!$B$39+Inputs!$B$43+Inputs!$B$42)/12*Inputs!$B$10*Inputs!$B$95+Inputs!$B$44/12*A28*Inputs!$B$95+Inputs!$B$97*Inputs!$B$96</f>
        <v>5.7633333333333336</v>
      </c>
      <c r="I28" s="63" t="str">
        <f>IF(G28&lt;=Code!$B$18,"PASS","FAIL: needs R "&amp;TEXT(1/Code!$B$18-F28,"0.0")&amp;" more")&amp;IF(H28&lt;'Mass wall'!$B$16,"; NOT a mass wall at this fill","")</f>
        <v>PASS; NOT a mass wall at this fill</v>
      </c>
    </row>
    <row r="29" spans="1:9" x14ac:dyDescent="0.3">
      <c r="A29" s="2"/>
      <c r="B29" s="2"/>
      <c r="C29" s="2"/>
      <c r="D29" s="2"/>
      <c r="E29" s="2"/>
      <c r="F29" s="2"/>
      <c r="G29" s="2"/>
      <c r="H29" s="2"/>
      <c r="I29" s="2"/>
    </row>
    <row r="30" spans="1:9" ht="70.05" customHeight="1" x14ac:dyDescent="0.3">
      <c r="A30" s="72" t="s">
        <v>479</v>
      </c>
      <c r="B30" s="73"/>
      <c r="C30" s="73"/>
      <c r="D30" s="73"/>
      <c r="E30" s="73"/>
      <c r="F30" s="73"/>
      <c r="G30" s="73"/>
      <c r="H30" s="2"/>
      <c r="I30" s="2"/>
    </row>
    <row r="31" spans="1:9" x14ac:dyDescent="0.3">
      <c r="A31" s="3" t="s">
        <v>480</v>
      </c>
      <c r="B31" s="4"/>
      <c r="C31" s="4"/>
      <c r="D31" s="4"/>
      <c r="E31" s="4"/>
      <c r="F31" s="4"/>
      <c r="G31" s="4"/>
      <c r="H31" s="2"/>
      <c r="I31" s="2"/>
    </row>
    <row r="32" spans="1:9" ht="45.6" x14ac:dyDescent="0.3">
      <c r="A32" s="5" t="s">
        <v>481</v>
      </c>
      <c r="B32" s="19">
        <v>8</v>
      </c>
      <c r="C32" s="7" t="s">
        <v>62</v>
      </c>
      <c r="D32" s="8" t="s">
        <v>482</v>
      </c>
      <c r="E32" s="2"/>
      <c r="F32" s="2"/>
      <c r="G32" s="2"/>
      <c r="H32" s="2"/>
      <c r="I32" s="2"/>
    </row>
    <row r="33" spans="1:9" x14ac:dyDescent="0.3">
      <c r="A33" s="5" t="s">
        <v>76</v>
      </c>
      <c r="B33" s="20">
        <f>Inputs!$B$38+Inputs!$B$39+$B$32+Inputs!$B$42</f>
        <v>13.5</v>
      </c>
      <c r="C33" s="7" t="s">
        <v>62</v>
      </c>
      <c r="D33" s="8"/>
      <c r="E33" s="2"/>
      <c r="F33" s="2"/>
      <c r="G33" s="2"/>
      <c r="H33" s="2"/>
      <c r="I33" s="2"/>
    </row>
    <row r="34" spans="1:9" x14ac:dyDescent="0.3">
      <c r="A34" s="5" t="s">
        <v>483</v>
      </c>
      <c r="B34" s="20">
        <f>$B$32-Inputs!$B$43</f>
        <v>6.5</v>
      </c>
      <c r="C34" s="7" t="s">
        <v>62</v>
      </c>
      <c r="D34" s="8"/>
      <c r="E34" s="2"/>
      <c r="F34" s="2"/>
      <c r="G34" s="2"/>
      <c r="H34" s="2"/>
      <c r="I34" s="2"/>
    </row>
    <row r="35" spans="1:9" x14ac:dyDescent="0.3">
      <c r="A35" s="5" t="s">
        <v>473</v>
      </c>
      <c r="B35" s="20">
        <f>(Inputs!$B$100+Inputs!$B$101+(Inputs!$B$38+Inputs!$B$39+Inputs!$B$43+Inputs!$B$42)/Inputs!$B$29)+$B$34/Inputs!$B$30</f>
        <v>29.200000000000003</v>
      </c>
      <c r="C35" s="7" t="s">
        <v>141</v>
      </c>
      <c r="D35" s="8"/>
      <c r="E35" s="2"/>
      <c r="F35" s="2"/>
      <c r="G35" s="2"/>
      <c r="H35" s="2"/>
      <c r="I35" s="2"/>
    </row>
    <row r="36" spans="1:9" x14ac:dyDescent="0.3">
      <c r="A36" s="5" t="s">
        <v>484</v>
      </c>
      <c r="B36" s="20">
        <f>Inputs!$B$100+Inputs!$B$101+(Inputs!$B$38+Inputs!$B$39+Inputs!$B$42)/Inputs!$B$29+$B$32/Inputs!$B$94</f>
        <v>12.425477707006371</v>
      </c>
      <c r="C36" s="7" t="s">
        <v>141</v>
      </c>
      <c r="D36" s="8"/>
      <c r="E36" s="2"/>
      <c r="F36" s="2"/>
      <c r="G36" s="2"/>
      <c r="H36" s="2"/>
      <c r="I36" s="2"/>
    </row>
    <row r="37" spans="1:9" x14ac:dyDescent="0.3">
      <c r="A37" s="5" t="s">
        <v>474</v>
      </c>
      <c r="B37" s="20">
        <f>1/(Inputs!$B$63/$B$36+(1-Inputs!$B$63)/$B$35)</f>
        <v>24.189597149878228</v>
      </c>
      <c r="C37" s="7" t="s">
        <v>141</v>
      </c>
      <c r="D37" s="8"/>
      <c r="E37" s="2"/>
      <c r="F37" s="2"/>
      <c r="G37" s="2"/>
      <c r="H37" s="2"/>
      <c r="I37" s="2"/>
    </row>
    <row r="38" spans="1:9" x14ac:dyDescent="0.3">
      <c r="A38" s="5" t="s">
        <v>475</v>
      </c>
      <c r="B38" s="20">
        <f>(Inputs!$B$100+Inputs!$B$101+(Inputs!$B$38+Inputs!$B$39+Inputs!$B$42)/Inputs!$B$29)+(1/(Inputs!$B$64*Inputs!$B$94/Inputs!$B$43+(1-Inputs!$B$64)*Inputs!$B$29/Inputs!$B$43))+(1/(Inputs!$B$64*Inputs!$B$94/$B$34+(1-Inputs!$B$64)*Inputs!$B$30/$B$34))</f>
        <v>16.100811265617892</v>
      </c>
      <c r="C38" s="7" t="s">
        <v>141</v>
      </c>
      <c r="D38" s="8"/>
      <c r="E38" s="2"/>
      <c r="F38" s="2"/>
      <c r="G38" s="2"/>
      <c r="H38" s="2"/>
      <c r="I38" s="2"/>
    </row>
    <row r="39" spans="1:9" ht="45.6" x14ac:dyDescent="0.3">
      <c r="A39" s="13" t="s">
        <v>476</v>
      </c>
      <c r="B39" s="21">
        <f>1/CHOOSE(Inputs!$B$6,1/$B$37,1/$B$38,(1/$B$37+1/$B$38)/2)</f>
        <v>19.333243499796477</v>
      </c>
      <c r="C39" s="7" t="s">
        <v>141</v>
      </c>
      <c r="D39" s="8" t="s">
        <v>485</v>
      </c>
      <c r="E39" s="2"/>
      <c r="F39" s="2"/>
      <c r="G39" s="2"/>
      <c r="H39" s="2"/>
      <c r="I39" s="2"/>
    </row>
    <row r="40" spans="1:9" x14ac:dyDescent="0.3">
      <c r="A40" s="5" t="s">
        <v>477</v>
      </c>
      <c r="B40" s="32">
        <f>1/$B$39</f>
        <v>5.1724378271578025E-2</v>
      </c>
      <c r="C40" s="7" t="s">
        <v>207</v>
      </c>
      <c r="D40" s="8"/>
      <c r="E40" s="2"/>
      <c r="F40" s="2"/>
      <c r="G40" s="2"/>
      <c r="H40" s="2"/>
      <c r="I40" s="2"/>
    </row>
    <row r="41" spans="1:9" ht="91.2" x14ac:dyDescent="0.3">
      <c r="A41" s="5" t="s">
        <v>486</v>
      </c>
      <c r="B41" s="20">
        <f>$B$39-Wall!$B$24</f>
        <v>1.4939904738786218</v>
      </c>
      <c r="C41" s="7" t="s">
        <v>141</v>
      </c>
      <c r="D41" s="8" t="s">
        <v>487</v>
      </c>
      <c r="E41" s="2"/>
      <c r="F41" s="2"/>
      <c r="G41" s="2"/>
      <c r="H41" s="2"/>
      <c r="I41" s="2"/>
    </row>
    <row r="42" spans="1:9" x14ac:dyDescent="0.3">
      <c r="A42" s="5" t="s">
        <v>488</v>
      </c>
      <c r="B42" s="22">
        <f>($B$32-Inputs!$B$40)/12*Inputs!$B$11</f>
        <v>5</v>
      </c>
      <c r="C42" s="7" t="s">
        <v>79</v>
      </c>
      <c r="D42" s="8" t="s">
        <v>489</v>
      </c>
      <c r="E42" s="2"/>
      <c r="F42" s="2"/>
      <c r="G42" s="2"/>
      <c r="H42" s="2"/>
      <c r="I42" s="2"/>
    </row>
    <row r="43" spans="1:9" ht="22.8" x14ac:dyDescent="0.3">
      <c r="A43" s="5" t="s">
        <v>490</v>
      </c>
      <c r="B43" s="20">
        <f>(Inputs!$B$38+Inputs!$B$39+Inputs!$B$43+Inputs!$B$42)/12*Inputs!$B$10*Inputs!$B$95+$B$34/12*Inputs!$B$11*Inputs!$B$95+Inputs!$B$97*Inputs!$B$96</f>
        <v>7.5133333333333336</v>
      </c>
      <c r="C43" s="7" t="s">
        <v>351</v>
      </c>
      <c r="D43" s="8" t="s">
        <v>491</v>
      </c>
      <c r="E43" s="2"/>
      <c r="F43" s="2"/>
      <c r="G43" s="2"/>
      <c r="H43" s="2"/>
      <c r="I43" s="2"/>
    </row>
    <row r="44" spans="1:9" x14ac:dyDescent="0.3">
      <c r="A44" s="13" t="s">
        <v>478</v>
      </c>
      <c r="B44" s="18" t="str">
        <f>IF($B$40&lt;=Code!$B$18,"PASS","FAIL: still needs R "&amp;TEXT(1/Code!$B$18-$B$39,"0.0")&amp;" of ci")</f>
        <v>PASS</v>
      </c>
      <c r="C44" s="7"/>
      <c r="D44" s="8"/>
      <c r="E44" s="2"/>
      <c r="F44" s="2"/>
      <c r="G44" s="2"/>
      <c r="H44" s="2"/>
      <c r="I44" s="2"/>
    </row>
    <row r="45" spans="1:9" x14ac:dyDescent="0.3">
      <c r="A45" s="2"/>
      <c r="B45" s="2"/>
      <c r="C45" s="2"/>
      <c r="D45" s="2"/>
      <c r="E45" s="2"/>
      <c r="F45" s="2"/>
      <c r="G45" s="2"/>
      <c r="H45" s="2"/>
      <c r="I45" s="2"/>
    </row>
    <row r="46" spans="1:9" ht="30" customHeight="1" x14ac:dyDescent="0.3">
      <c r="A46" s="72" t="s">
        <v>492</v>
      </c>
      <c r="B46" s="73"/>
      <c r="C46" s="73"/>
      <c r="D46" s="73"/>
      <c r="E46" s="73"/>
      <c r="F46" s="73"/>
      <c r="G46" s="73"/>
      <c r="H46" s="2"/>
      <c r="I46" s="2"/>
    </row>
    <row r="47" spans="1:9" x14ac:dyDescent="0.3">
      <c r="A47" s="3" t="s">
        <v>493</v>
      </c>
      <c r="B47" s="4"/>
      <c r="C47" s="4"/>
      <c r="D47" s="4"/>
      <c r="E47" s="4"/>
      <c r="F47" s="4"/>
      <c r="G47" s="4"/>
      <c r="H47" s="2"/>
      <c r="I47" s="2"/>
    </row>
    <row r="48" spans="1:9" ht="60" customHeight="1" x14ac:dyDescent="0.3">
      <c r="A48" s="72" t="s">
        <v>494</v>
      </c>
      <c r="B48" s="73"/>
      <c r="C48" s="73"/>
      <c r="D48" s="73"/>
      <c r="E48" s="73"/>
      <c r="F48" s="73"/>
      <c r="G48" s="73"/>
      <c r="H48" s="2"/>
      <c r="I48" s="2"/>
    </row>
    <row r="49" spans="1:9" ht="30" customHeight="1" x14ac:dyDescent="0.3">
      <c r="A49" s="34" t="s">
        <v>495</v>
      </c>
      <c r="B49" s="34" t="s">
        <v>496</v>
      </c>
      <c r="C49" s="34" t="s">
        <v>497</v>
      </c>
      <c r="D49" s="34" t="s">
        <v>498</v>
      </c>
      <c r="E49" s="34" t="s">
        <v>499</v>
      </c>
      <c r="F49" s="34" t="s">
        <v>500</v>
      </c>
      <c r="G49" s="34" t="s">
        <v>259</v>
      </c>
      <c r="H49" s="2"/>
      <c r="I49" s="2"/>
    </row>
    <row r="50" spans="1:9" x14ac:dyDescent="0.3">
      <c r="A50" s="43" t="s">
        <v>501</v>
      </c>
      <c r="B50" s="64">
        <f>Inputs!$B$120</f>
        <v>1220.0999999999999</v>
      </c>
      <c r="C50" s="39">
        <f>Code!$B$18</f>
        <v>0.06</v>
      </c>
      <c r="D50" s="64">
        <f>B50*C50</f>
        <v>73.205999999999989</v>
      </c>
      <c r="E50" s="46">
        <f>Wall!$B$23</f>
        <v>5.6056158772295264E-2</v>
      </c>
      <c r="F50" s="64">
        <f>B50*E50</f>
        <v>68.394119318077443</v>
      </c>
      <c r="G50" s="41" t="s">
        <v>502</v>
      </c>
      <c r="H50" s="2"/>
      <c r="I50" s="2"/>
    </row>
    <row r="51" spans="1:9" ht="22.8" x14ac:dyDescent="0.3">
      <c r="A51" s="43" t="s">
        <v>503</v>
      </c>
      <c r="B51" s="64">
        <f>Inputs!$B$117+Inputs!$B$118</f>
        <v>257.2</v>
      </c>
      <c r="C51" s="39">
        <f>Inputs!$B$124</f>
        <v>0.3</v>
      </c>
      <c r="D51" s="64">
        <f>B51*C51</f>
        <v>77.16</v>
      </c>
      <c r="E51" s="46">
        <f>Inputs!$B$122</f>
        <v>0.27</v>
      </c>
      <c r="F51" s="64">
        <f>B51*E51</f>
        <v>69.444000000000003</v>
      </c>
      <c r="G51" s="41" t="s">
        <v>504</v>
      </c>
      <c r="H51" s="2"/>
      <c r="I51" s="2"/>
    </row>
    <row r="52" spans="1:9" x14ac:dyDescent="0.3">
      <c r="A52" s="43" t="s">
        <v>505</v>
      </c>
      <c r="B52" s="64">
        <f>Inputs!$B$119</f>
        <v>21</v>
      </c>
      <c r="C52" s="39">
        <f>Inputs!$B$124</f>
        <v>0.3</v>
      </c>
      <c r="D52" s="64">
        <f>B52*C52</f>
        <v>6.3</v>
      </c>
      <c r="E52" s="46">
        <f>Inputs!$B$123</f>
        <v>0.3</v>
      </c>
      <c r="F52" s="64">
        <f>B52*E52</f>
        <v>6.3</v>
      </c>
      <c r="G52" s="41" t="s">
        <v>506</v>
      </c>
      <c r="H52" s="2"/>
      <c r="I52" s="2"/>
    </row>
    <row r="53" spans="1:9" x14ac:dyDescent="0.3">
      <c r="A53" s="43" t="s">
        <v>507</v>
      </c>
      <c r="B53" s="64">
        <f>Inputs!$B$121</f>
        <v>1387</v>
      </c>
      <c r="C53" s="39">
        <f>Code!$E$13</f>
        <v>2.4E-2</v>
      </c>
      <c r="D53" s="64">
        <f>B53*C53</f>
        <v>33.288000000000004</v>
      </c>
      <c r="E53" s="46">
        <f>Roof!$B$23</f>
        <v>4.9650824143243052E-2</v>
      </c>
      <c r="F53" s="64">
        <f>B53*E53</f>
        <v>68.865693086678107</v>
      </c>
      <c r="G53" s="41" t="s">
        <v>508</v>
      </c>
      <c r="H53" s="2"/>
      <c r="I53" s="2"/>
    </row>
    <row r="54" spans="1:9" x14ac:dyDescent="0.3">
      <c r="A54" s="47" t="s">
        <v>509</v>
      </c>
      <c r="B54" s="36">
        <f>SUM(B50:B53)</f>
        <v>2885.3</v>
      </c>
      <c r="C54" s="43"/>
      <c r="D54" s="65">
        <f>SUM(D50:D53)</f>
        <v>189.95400000000001</v>
      </c>
      <c r="E54" s="43"/>
      <c r="F54" s="65">
        <f>SUM(F50:F53)</f>
        <v>213.00381240475556</v>
      </c>
      <c r="G54" s="44" t="s">
        <v>510</v>
      </c>
      <c r="H54" s="2"/>
      <c r="I54" s="2"/>
    </row>
    <row r="55" spans="1:9" x14ac:dyDescent="0.3">
      <c r="A55" s="13" t="s">
        <v>511</v>
      </c>
      <c r="B55" s="54" t="str">
        <f>IF($F$54&lt;=$D$54,"PASS","FAIL by "&amp;TEXT($F$54-$D$54,"0")&amp;" Btu/h·°F")</f>
        <v>FAIL by 23 Btu/h·°F</v>
      </c>
      <c r="C55" s="7"/>
      <c r="D55" s="8"/>
      <c r="E55" s="2"/>
      <c r="F55" s="2"/>
      <c r="G55" s="2"/>
      <c r="H55" s="2"/>
      <c r="I55" s="2"/>
    </row>
    <row r="56" spans="1:9" ht="57" x14ac:dyDescent="0.3">
      <c r="A56" s="5" t="s">
        <v>512</v>
      </c>
      <c r="B56" s="32">
        <f>($D$54-SUM(F51:F53))/B50</f>
        <v>3.7164418419245886E-2</v>
      </c>
      <c r="C56" s="7" t="s">
        <v>207</v>
      </c>
      <c r="D56" s="8" t="s">
        <v>513</v>
      </c>
      <c r="E56" s="2"/>
      <c r="F56" s="2"/>
      <c r="G56" s="2"/>
      <c r="H56" s="2"/>
      <c r="I56" s="2"/>
    </row>
    <row r="57" spans="1:9" x14ac:dyDescent="0.3">
      <c r="A57" s="5" t="s">
        <v>514</v>
      </c>
      <c r="B57" s="20">
        <f>IF($B$56&gt;0,1/$B$56,"n/a")</f>
        <v>26.907457254386689</v>
      </c>
      <c r="C57" s="7" t="s">
        <v>141</v>
      </c>
      <c r="D57" s="8"/>
      <c r="E57" s="2"/>
      <c r="F57" s="2"/>
      <c r="G57" s="2"/>
      <c r="H57" s="2"/>
      <c r="I57" s="2"/>
    </row>
    <row r="58" spans="1:9" x14ac:dyDescent="0.3">
      <c r="A58" s="5" t="s">
        <v>515</v>
      </c>
      <c r="B58" s="20">
        <f>IF($B$56&gt;0,MAX(0,1/$B$56-Wall!$B$24)/Inputs!$B$108,"n/a")</f>
        <v>1.5113673714114721</v>
      </c>
      <c r="C58" s="7" t="s">
        <v>62</v>
      </c>
      <c r="D58" s="8"/>
      <c r="E58" s="2"/>
      <c r="F58" s="2"/>
      <c r="G58" s="2"/>
      <c r="H58" s="2"/>
      <c r="I58" s="2"/>
    </row>
    <row r="59" spans="1:9" x14ac:dyDescent="0.3">
      <c r="A59" s="5" t="s">
        <v>516</v>
      </c>
      <c r="B59" s="32">
        <f>($D$54-SUM(F50:F52))/B53</f>
        <v>3.3032358097997511E-2</v>
      </c>
      <c r="C59" s="7" t="s">
        <v>207</v>
      </c>
      <c r="D59" s="8"/>
      <c r="E59" s="2"/>
      <c r="F59" s="2"/>
      <c r="G59" s="2"/>
      <c r="H59" s="2"/>
      <c r="I59" s="2"/>
    </row>
    <row r="60" spans="1:9" x14ac:dyDescent="0.3">
      <c r="A60" s="5" t="s">
        <v>517</v>
      </c>
      <c r="B60" s="20">
        <f>IF($B$59&gt;0,MAX(0,1/$B$59-Roof!$B$24)/Inputs!$B$108,"n/a")</f>
        <v>1.6887822048330374</v>
      </c>
      <c r="C60" s="7" t="s">
        <v>62</v>
      </c>
      <c r="D60" s="8"/>
      <c r="E60" s="2"/>
      <c r="F60" s="2"/>
      <c r="G60" s="2"/>
      <c r="H60" s="2"/>
      <c r="I60" s="2"/>
    </row>
    <row r="61" spans="1:9" x14ac:dyDescent="0.3">
      <c r="A61" s="2"/>
      <c r="B61" s="2"/>
      <c r="C61" s="2"/>
      <c r="D61" s="2"/>
      <c r="E61" s="2"/>
      <c r="F61" s="2"/>
      <c r="G61" s="2"/>
      <c r="H61" s="2"/>
      <c r="I61" s="2"/>
    </row>
    <row r="62" spans="1:9" x14ac:dyDescent="0.3">
      <c r="A62" s="3" t="s">
        <v>518</v>
      </c>
      <c r="B62" s="4"/>
      <c r="C62" s="4"/>
      <c r="D62" s="4"/>
      <c r="E62" s="4"/>
      <c r="F62" s="4"/>
      <c r="G62" s="4"/>
      <c r="H62" s="2"/>
      <c r="I62" s="2"/>
    </row>
    <row r="63" spans="1:9" ht="79.8" x14ac:dyDescent="0.3">
      <c r="A63" s="5" t="s">
        <v>519</v>
      </c>
      <c r="B63" s="32">
        <f>($D$54-F51-F52-D53)/B50</f>
        <v>6.6324071797393663E-2</v>
      </c>
      <c r="C63" s="7" t="s">
        <v>207</v>
      </c>
      <c r="D63" s="8" t="s">
        <v>520</v>
      </c>
      <c r="E63" s="2"/>
      <c r="F63" s="2"/>
      <c r="G63" s="2"/>
      <c r="H63" s="2"/>
      <c r="I63" s="2"/>
    </row>
    <row r="64" spans="1:9" x14ac:dyDescent="0.3">
      <c r="A64" s="5" t="s">
        <v>514</v>
      </c>
      <c r="B64" s="20">
        <f>IF($B$63&gt;0,1/$B$63,"n/a")</f>
        <v>15.077482019722694</v>
      </c>
      <c r="C64" s="7" t="s">
        <v>141</v>
      </c>
      <c r="D64" s="8"/>
      <c r="E64" s="2"/>
      <c r="F64" s="2"/>
      <c r="G64" s="2"/>
      <c r="H64" s="2"/>
      <c r="I64" s="2"/>
    </row>
    <row r="65" spans="1:9" ht="34.200000000000003" x14ac:dyDescent="0.3">
      <c r="A65" s="13" t="s">
        <v>521</v>
      </c>
      <c r="B65" s="51">
        <f>IF($B$63&gt;0,MAX(0,1/$B$63-Wall!$B$24)/Inputs!$B$108,"n/a")</f>
        <v>0</v>
      </c>
      <c r="C65" s="7" t="s">
        <v>62</v>
      </c>
      <c r="D65" s="8" t="s">
        <v>522</v>
      </c>
      <c r="E65" s="2"/>
      <c r="F65" s="2"/>
      <c r="G65" s="2"/>
      <c r="H65" s="2"/>
      <c r="I65" s="2"/>
    </row>
    <row r="66" spans="1:9" ht="34.200000000000003" x14ac:dyDescent="0.3">
      <c r="A66" s="5" t="s">
        <v>523</v>
      </c>
      <c r="B66" s="12">
        <v>0.22</v>
      </c>
      <c r="C66" s="7" t="s">
        <v>207</v>
      </c>
      <c r="D66" s="8" t="s">
        <v>524</v>
      </c>
      <c r="E66" s="2"/>
      <c r="F66" s="2"/>
      <c r="G66" s="2"/>
      <c r="H66" s="2"/>
      <c r="I66" s="2"/>
    </row>
    <row r="67" spans="1:9" x14ac:dyDescent="0.3">
      <c r="A67" s="5" t="s">
        <v>525</v>
      </c>
      <c r="B67" s="32">
        <f>($D$54-B51*$B$66-F52-D53)/B50</f>
        <v>7.686419145971643E-2</v>
      </c>
      <c r="C67" s="7" t="s">
        <v>207</v>
      </c>
      <c r="D67" s="8"/>
      <c r="E67" s="2"/>
      <c r="F67" s="2"/>
      <c r="G67" s="2"/>
      <c r="H67" s="2"/>
      <c r="I67" s="2"/>
    </row>
    <row r="68" spans="1:9" x14ac:dyDescent="0.3">
      <c r="A68" s="13" t="s">
        <v>521</v>
      </c>
      <c r="B68" s="51">
        <f>IF($B$67&gt;0,MAX(0,1/$B$67-Wall!$B$24)/Inputs!$B$108,"n/a")</f>
        <v>0</v>
      </c>
      <c r="C68" s="7" t="s">
        <v>62</v>
      </c>
      <c r="D68" s="8"/>
      <c r="E68" s="2"/>
      <c r="F68" s="2"/>
      <c r="G68" s="2"/>
      <c r="H68" s="2"/>
      <c r="I68" s="2"/>
    </row>
    <row r="69" spans="1:9" ht="79.8" x14ac:dyDescent="0.3">
      <c r="A69" s="5" t="s">
        <v>526</v>
      </c>
      <c r="B69" s="15">
        <f>($D$54-F50-F52-D53)/B51</f>
        <v>0.31870871182707061</v>
      </c>
      <c r="C69" s="7" t="s">
        <v>207</v>
      </c>
      <c r="D69" s="8" t="s">
        <v>527</v>
      </c>
      <c r="E69" s="2"/>
      <c r="F69" s="2"/>
      <c r="G69" s="2"/>
      <c r="H69" s="2"/>
      <c r="I69" s="2"/>
    </row>
    <row r="70" spans="1:9" x14ac:dyDescent="0.3">
      <c r="A70" s="2"/>
      <c r="B70" s="2"/>
      <c r="C70" s="2"/>
      <c r="D70" s="2"/>
      <c r="E70" s="2"/>
      <c r="F70" s="2"/>
      <c r="G70" s="2"/>
      <c r="H70" s="2"/>
      <c r="I70" s="2"/>
    </row>
    <row r="71" spans="1:9" ht="60" customHeight="1" x14ac:dyDescent="0.3">
      <c r="A71" s="72" t="s">
        <v>528</v>
      </c>
      <c r="B71" s="73"/>
      <c r="C71" s="73"/>
      <c r="D71" s="73"/>
      <c r="E71" s="73"/>
      <c r="F71" s="73"/>
      <c r="G71" s="73"/>
      <c r="H71" s="2"/>
      <c r="I71" s="2"/>
    </row>
    <row r="72" spans="1:9" x14ac:dyDescent="0.3">
      <c r="A72" s="2"/>
      <c r="B72" s="2"/>
      <c r="C72" s="2"/>
      <c r="D72" s="2"/>
      <c r="E72" s="2"/>
      <c r="F72" s="2"/>
      <c r="G72" s="2"/>
      <c r="H72" s="2"/>
      <c r="I72" s="2"/>
    </row>
    <row r="73" spans="1:9" x14ac:dyDescent="0.3">
      <c r="A73" s="3" t="s">
        <v>529</v>
      </c>
      <c r="B73" s="4"/>
      <c r="C73" s="4"/>
      <c r="D73" s="4"/>
      <c r="E73" s="4"/>
      <c r="F73" s="4"/>
      <c r="G73" s="4"/>
      <c r="H73" s="4"/>
      <c r="I73" s="4"/>
    </row>
    <row r="74" spans="1:9" ht="114" x14ac:dyDescent="0.3">
      <c r="A74" s="5" t="s">
        <v>530</v>
      </c>
      <c r="B74" s="30">
        <v>19</v>
      </c>
      <c r="C74" s="7" t="s">
        <v>141</v>
      </c>
      <c r="D74" s="8" t="s">
        <v>531</v>
      </c>
      <c r="E74" s="2"/>
      <c r="F74" s="2"/>
      <c r="G74" s="2"/>
      <c r="H74" s="2"/>
      <c r="I74" s="2"/>
    </row>
    <row r="75" spans="1:9" ht="250.8" x14ac:dyDescent="0.3">
      <c r="A75" s="5" t="s">
        <v>532</v>
      </c>
      <c r="B75" s="12">
        <v>0.37</v>
      </c>
      <c r="C75" s="7" t="s">
        <v>533</v>
      </c>
      <c r="D75" s="8" t="s">
        <v>534</v>
      </c>
      <c r="E75" s="2"/>
      <c r="F75" s="2"/>
      <c r="G75" s="2"/>
      <c r="H75" s="2"/>
      <c r="I75" s="2"/>
    </row>
    <row r="76" spans="1:9" ht="22.8" x14ac:dyDescent="0.3">
      <c r="A76" s="5" t="s">
        <v>535</v>
      </c>
      <c r="B76" s="20">
        <f>$B$74*$B$75</f>
        <v>7.03</v>
      </c>
      <c r="C76" s="7" t="s">
        <v>141</v>
      </c>
      <c r="D76" s="8" t="s">
        <v>536</v>
      </c>
      <c r="E76" s="2"/>
      <c r="F76" s="2"/>
      <c r="G76" s="2"/>
      <c r="H76" s="2"/>
      <c r="I76" s="2"/>
    </row>
    <row r="77" spans="1:9" ht="125.4" x14ac:dyDescent="0.3">
      <c r="A77" s="5" t="s">
        <v>537</v>
      </c>
      <c r="B77" s="20">
        <f>Inputs!$B$38+Inputs!$B$39+Inputs!$B$43+Inputs!$B$42</f>
        <v>7</v>
      </c>
      <c r="C77" s="7" t="s">
        <v>62</v>
      </c>
      <c r="D77" s="8" t="s">
        <v>538</v>
      </c>
      <c r="E77" s="2"/>
      <c r="F77" s="2"/>
      <c r="G77" s="2"/>
      <c r="H77" s="2"/>
      <c r="I77" s="2"/>
    </row>
    <row r="78" spans="1:9" ht="34.200000000000003" x14ac:dyDescent="0.3">
      <c r="A78" s="13" t="s">
        <v>539</v>
      </c>
      <c r="B78" s="21">
        <f>$B$77/12*Inputs!$B$10*Inputs!$B$95+Inputs!$B$97*Inputs!$B$96</f>
        <v>4.2633333333333336</v>
      </c>
      <c r="C78" s="7" t="s">
        <v>351</v>
      </c>
      <c r="D78" s="8" t="s">
        <v>540</v>
      </c>
      <c r="E78" s="2"/>
      <c r="F78" s="2"/>
      <c r="G78" s="2"/>
      <c r="H78" s="2"/>
      <c r="I78" s="2"/>
    </row>
    <row r="79" spans="1:9" x14ac:dyDescent="0.3">
      <c r="A79" s="13" t="s">
        <v>541</v>
      </c>
      <c r="B79" s="18" t="str">
        <f>IF($B$78&gt;='Mass wall'!$B$16,"YES","NO: frame-wall (steel-framed) targets apply")</f>
        <v>NO: frame-wall (steel-framed) targets apply</v>
      </c>
      <c r="C79" s="7"/>
      <c r="D79" s="8"/>
      <c r="E79" s="2"/>
      <c r="F79" s="2"/>
      <c r="G79" s="2"/>
      <c r="H79" s="2"/>
      <c r="I79" s="2"/>
    </row>
    <row r="80" spans="1:9" ht="57" x14ac:dyDescent="0.3">
      <c r="A80" s="5" t="s">
        <v>542</v>
      </c>
      <c r="B80" s="22">
        <f>$B$77/12*Inputs!$B$10+Inputs!$B$97+0.6</f>
        <v>22.516666666666669</v>
      </c>
      <c r="C80" s="7" t="s">
        <v>79</v>
      </c>
      <c r="D80" s="8" t="s">
        <v>543</v>
      </c>
      <c r="E80" s="2"/>
      <c r="F80" s="2"/>
      <c r="G80" s="2"/>
      <c r="H80" s="2"/>
      <c r="I80" s="2"/>
    </row>
    <row r="81" spans="1:9" ht="34.200000000000003" x14ac:dyDescent="0.3">
      <c r="A81" s="5" t="s">
        <v>544</v>
      </c>
      <c r="B81" s="24">
        <f>Code!$E$14</f>
        <v>4.4999999999999998E-2</v>
      </c>
      <c r="C81" s="7" t="s">
        <v>207</v>
      </c>
      <c r="D81" s="8" t="s">
        <v>545</v>
      </c>
      <c r="E81" s="2"/>
      <c r="F81" s="2"/>
      <c r="G81" s="2"/>
      <c r="H81" s="2"/>
      <c r="I81" s="2"/>
    </row>
    <row r="82" spans="1:9" ht="159.6" x14ac:dyDescent="0.3">
      <c r="A82" s="5" t="s">
        <v>546</v>
      </c>
      <c r="B82" s="11">
        <v>6.4000000000000001E-2</v>
      </c>
      <c r="C82" s="7" t="s">
        <v>207</v>
      </c>
      <c r="D82" s="8" t="s">
        <v>547</v>
      </c>
      <c r="E82" s="2"/>
      <c r="F82" s="2"/>
      <c r="G82" s="2"/>
      <c r="H82" s="2"/>
      <c r="I82" s="2"/>
    </row>
    <row r="83" spans="1:9" x14ac:dyDescent="0.3">
      <c r="A83" s="2"/>
      <c r="B83" s="2"/>
      <c r="C83" s="2"/>
      <c r="D83" s="2"/>
      <c r="E83" s="2"/>
      <c r="F83" s="2"/>
      <c r="G83" s="2"/>
      <c r="H83" s="2"/>
      <c r="I83" s="2"/>
    </row>
    <row r="84" spans="1:9" ht="30" customHeight="1" x14ac:dyDescent="0.3">
      <c r="A84" s="72" t="s">
        <v>548</v>
      </c>
      <c r="B84" s="73"/>
      <c r="C84" s="73"/>
      <c r="D84" s="73"/>
      <c r="E84" s="73"/>
      <c r="F84" s="73"/>
      <c r="G84" s="73"/>
      <c r="H84" s="73"/>
      <c r="I84" s="73"/>
    </row>
    <row r="85" spans="1:9" ht="30" customHeight="1" x14ac:dyDescent="0.3">
      <c r="A85" s="34" t="s">
        <v>549</v>
      </c>
      <c r="B85" s="34" t="s">
        <v>550</v>
      </c>
      <c r="C85" s="34" t="s">
        <v>472</v>
      </c>
      <c r="D85" s="34" t="s">
        <v>551</v>
      </c>
      <c r="E85" s="34" t="s">
        <v>552</v>
      </c>
      <c r="F85" s="34" t="s">
        <v>553</v>
      </c>
      <c r="G85" s="34" t="s">
        <v>554</v>
      </c>
      <c r="H85" s="34" t="s">
        <v>555</v>
      </c>
      <c r="I85" s="34" t="s">
        <v>556</v>
      </c>
    </row>
    <row r="86" spans="1:9" ht="30" customHeight="1" x14ac:dyDescent="0.3">
      <c r="A86" s="66" t="s">
        <v>557</v>
      </c>
      <c r="B86" s="39">
        <f>Inputs!$B$18</f>
        <v>0.47619047619047616</v>
      </c>
      <c r="C86" s="39">
        <f>Inputs!$B$18</f>
        <v>0.47619047619047616</v>
      </c>
      <c r="D86" s="67" t="str">
        <f>TEXT((1/CHOOSE(Inputs!$B$6,1/(1/(Inputs!$B$63/(Inputs!$B$100+Inputs!$B$101+(Inputs!$B$38+Inputs!$B$39+Inputs!$B$42)/B86+Inputs!$B$40/Inputs!$B$94)+(1-Inputs!$B$63)/(Inputs!$B$100+Inputs!$B$101+(Inputs!$B$38+Inputs!$B$39+Inputs!$B$43+Inputs!$B$42)/B86+Inputs!$B$44/C86))),1/(Inputs!$B$100+Inputs!$B$101+(Inputs!$B$38+Inputs!$B$39+Inputs!$B$42)/B86+1/(Inputs!$B$64*Inputs!$B$94/Inputs!$B$43+(1-Inputs!$B$64)*B86/Inputs!$B$43)+1/(Inputs!$B$64*Inputs!$B$94/Inputs!$B$44+(1-Inputs!$B$64)*C86/Inputs!$B$44)),(1/(1/(Inputs!$B$63/(Inputs!$B$100+Inputs!$B$101+(Inputs!$B$38+Inputs!$B$39+Inputs!$B$42)/B86+Inputs!$B$40/Inputs!$B$94)+(1-Inputs!$B$63)/(Inputs!$B$100+Inputs!$B$101+(Inputs!$B$38+Inputs!$B$39+Inputs!$B$43+Inputs!$B$42)/B86+Inputs!$B$44/C86)))+1/(Inputs!$B$100+Inputs!$B$101+(Inputs!$B$38+Inputs!$B$39+Inputs!$B$42)/B86+1/(Inputs!$B$64*Inputs!$B$94/Inputs!$B$43+(1-Inputs!$B$64)*B86/Inputs!$B$43)+1/(Inputs!$B$64*Inputs!$B$94/Inputs!$B$44+(1-Inputs!$B$64)*C86/Inputs!$B$44)))/2)),"0.0")&amp;" ("&amp;TEXT(1/(1/CHOOSE(Inputs!$B$6,1/(1/(Inputs!$B$63/(Inputs!$B$100+Inputs!$B$101+(Inputs!$B$38+Inputs!$B$39+Inputs!$B$42)/B86+Inputs!$B$40/Inputs!$B$94)+(1-Inputs!$B$63)/(Inputs!$B$100+Inputs!$B$101+(Inputs!$B$38+Inputs!$B$39+Inputs!$B$43+Inputs!$B$42)/B86+Inputs!$B$44/C86))),1/(Inputs!$B$100+Inputs!$B$101+(Inputs!$B$38+Inputs!$B$39+Inputs!$B$42)/B86+1/(Inputs!$B$64*Inputs!$B$94/Inputs!$B$43+(1-Inputs!$B$64)*B86/Inputs!$B$43)+1/(Inputs!$B$64*Inputs!$B$94/Inputs!$B$44+(1-Inputs!$B$64)*C86/Inputs!$B$44)),(1/(1/(Inputs!$B$63/(Inputs!$B$100+Inputs!$B$101+(Inputs!$B$38+Inputs!$B$39+Inputs!$B$42)/B86+Inputs!$B$40/Inputs!$B$94)+(1-Inputs!$B$63)/(Inputs!$B$100+Inputs!$B$101+(Inputs!$B$38+Inputs!$B$39+Inputs!$B$43+Inputs!$B$42)/B86+Inputs!$B$44/C86)))+1/(Inputs!$B$100+Inputs!$B$101+(Inputs!$B$38+Inputs!$B$39+Inputs!$B$42)/B86+1/(Inputs!$B$64*Inputs!$B$94/Inputs!$B$43+(1-Inputs!$B$64)*B86/Inputs!$B$43)+1/(Inputs!$B$64*Inputs!$B$94/Inputs!$B$44+(1-Inputs!$B$64)*C86/Inputs!$B$44)))/2)),"0.000")&amp;")"</f>
        <v>17.8 (0.056)</v>
      </c>
      <c r="E86" s="67" t="str">
        <f>IF(1/(1/CHOOSE(Inputs!$B$6,1/(1/(Inputs!$B$63/(Inputs!$B$100+Inputs!$B$101+(Inputs!$B$38+Inputs!$B$39+Inputs!$B$42)/B86+Inputs!$B$40/Inputs!$B$94)+(1-Inputs!$B$63)/(Inputs!$B$100+Inputs!$B$101+(Inputs!$B$38+Inputs!$B$39+Inputs!$B$43+Inputs!$B$42)/B86+Inputs!$B$44/C86))),1/(Inputs!$B$100+Inputs!$B$101+(Inputs!$B$38+Inputs!$B$39+Inputs!$B$42)/B86+1/(Inputs!$B$64*Inputs!$B$94/Inputs!$B$43+(1-Inputs!$B$64)*B86/Inputs!$B$43)+1/(Inputs!$B$64*Inputs!$B$94/Inputs!$B$44+(1-Inputs!$B$64)*C86/Inputs!$B$44)),(1/(1/(Inputs!$B$63/(Inputs!$B$100+Inputs!$B$101+(Inputs!$B$38+Inputs!$B$39+Inputs!$B$42)/B86+Inputs!$B$40/Inputs!$B$94)+(1-Inputs!$B$63)/(Inputs!$B$100+Inputs!$B$101+(Inputs!$B$38+Inputs!$B$39+Inputs!$B$43+Inputs!$B$42)/B86+Inputs!$B$44/C86)))+1/(Inputs!$B$100+Inputs!$B$101+(Inputs!$B$38+Inputs!$B$39+Inputs!$B$42)/B86+1/(Inputs!$B$64*Inputs!$B$94/Inputs!$B$43+(1-Inputs!$B$64)*B86/Inputs!$B$43)+1/(Inputs!$B$64*Inputs!$B$94/Inputs!$B$44+(1-Inputs!$B$64)*C86/Inputs!$B$44)))/2))&lt;=Code!$B$18,"PASS","FAIL, "&amp;TEXT(MAX(0,1/Code!$B$18-(1/CHOOSE(Inputs!$B$6,1/(1/(Inputs!$B$63/(Inputs!$B$100+Inputs!$B$101+(Inputs!$B$38+Inputs!$B$39+Inputs!$B$42)/B86+Inputs!$B$40/Inputs!$B$94)+(1-Inputs!$B$63)/(Inputs!$B$100+Inputs!$B$101+(Inputs!$B$38+Inputs!$B$39+Inputs!$B$43+Inputs!$B$42)/B86+Inputs!$B$44/C86))),1/(Inputs!$B$100+Inputs!$B$101+(Inputs!$B$38+Inputs!$B$39+Inputs!$B$42)/B86+1/(Inputs!$B$64*Inputs!$B$94/Inputs!$B$43+(1-Inputs!$B$64)*B86/Inputs!$B$43)+1/(Inputs!$B$64*Inputs!$B$94/Inputs!$B$44+(1-Inputs!$B$64)*C86/Inputs!$B$44)),(1/(1/(Inputs!$B$63/(Inputs!$B$100+Inputs!$B$101+(Inputs!$B$38+Inputs!$B$39+Inputs!$B$42)/B86+Inputs!$B$40/Inputs!$B$94)+(1-Inputs!$B$63)/(Inputs!$B$100+Inputs!$B$101+(Inputs!$B$38+Inputs!$B$39+Inputs!$B$43+Inputs!$B$42)/B86+Inputs!$B$44/C86)))+1/(Inputs!$B$100+Inputs!$B$101+(Inputs!$B$38+Inputs!$B$39+Inputs!$B$42)/B86+1/(Inputs!$B$64*Inputs!$B$94/Inputs!$B$43+(1-Inputs!$B$64)*B86/Inputs!$B$43)+1/(Inputs!$B$64*Inputs!$B$94/Inputs!$B$44+(1-Inputs!$B$64)*C86/Inputs!$B$44)))/2)))/Inputs!$B$108,"0.00")&amp;""" polyiso")</f>
        <v>PASS</v>
      </c>
      <c r="F86" s="53">
        <f>Inputs!$B$100+Inputs!$B$101+$B$77/B86+$B$76</f>
        <v>22.580000000000002</v>
      </c>
      <c r="G86" s="49">
        <f>1/F86</f>
        <v>4.4286979627989366E-2</v>
      </c>
      <c r="H86" s="57" t="str">
        <f>IF(G86&lt;=$B$81,"PASS","FAIL, "&amp;TEXT(MAX(0,1/$B$81-F86)/Inputs!$B$108,"0.00")&amp;""" polyiso")</f>
        <v>PASS</v>
      </c>
      <c r="I86" s="57" t="str">
        <f>IF(G86&lt;=$B$82,"PASS","FAIL, "&amp;TEXT(MAX(0,1/$B$82-F86)/Inputs!$B$108,"0.00")&amp;""" polyiso")</f>
        <v>PASS</v>
      </c>
    </row>
    <row r="87" spans="1:9" ht="30" customHeight="1" x14ac:dyDescent="0.3">
      <c r="A87" s="66" t="s">
        <v>558</v>
      </c>
      <c r="B87" s="39">
        <f>Inputs!$B$27</f>
        <v>1.3278840765109141</v>
      </c>
      <c r="C87" s="39">
        <f>Inputs!$B$18</f>
        <v>0.47619047619047616</v>
      </c>
      <c r="D87" s="67" t="str">
        <f>TEXT((1/CHOOSE(Inputs!$B$6,1/(1/(Inputs!$B$63/(Inputs!$B$100+Inputs!$B$101+(Inputs!$B$38+Inputs!$B$39+Inputs!$B$42)/B87+Inputs!$B$40/Inputs!$B$94)+(1-Inputs!$B$63)/(Inputs!$B$100+Inputs!$B$101+(Inputs!$B$38+Inputs!$B$39+Inputs!$B$43+Inputs!$B$42)/B87+Inputs!$B$44/C87))),1/(Inputs!$B$100+Inputs!$B$101+(Inputs!$B$38+Inputs!$B$39+Inputs!$B$42)/B87+1/(Inputs!$B$64*Inputs!$B$94/Inputs!$B$43+(1-Inputs!$B$64)*B87/Inputs!$B$43)+1/(Inputs!$B$64*Inputs!$B$94/Inputs!$B$44+(1-Inputs!$B$64)*C87/Inputs!$B$44)),(1/(1/(Inputs!$B$63/(Inputs!$B$100+Inputs!$B$101+(Inputs!$B$38+Inputs!$B$39+Inputs!$B$42)/B87+Inputs!$B$40/Inputs!$B$94)+(1-Inputs!$B$63)/(Inputs!$B$100+Inputs!$B$101+(Inputs!$B$38+Inputs!$B$39+Inputs!$B$43+Inputs!$B$42)/B87+Inputs!$B$44/C87)))+1/(Inputs!$B$100+Inputs!$B$101+(Inputs!$B$38+Inputs!$B$39+Inputs!$B$42)/B87+1/(Inputs!$B$64*Inputs!$B$94/Inputs!$B$43+(1-Inputs!$B$64)*B87/Inputs!$B$43)+1/(Inputs!$B$64*Inputs!$B$94/Inputs!$B$44+(1-Inputs!$B$64)*C87/Inputs!$B$44)))/2)),"0.0")&amp;" ("&amp;TEXT(1/(1/CHOOSE(Inputs!$B$6,1/(1/(Inputs!$B$63/(Inputs!$B$100+Inputs!$B$101+(Inputs!$B$38+Inputs!$B$39+Inputs!$B$42)/B87+Inputs!$B$40/Inputs!$B$94)+(1-Inputs!$B$63)/(Inputs!$B$100+Inputs!$B$101+(Inputs!$B$38+Inputs!$B$39+Inputs!$B$43+Inputs!$B$42)/B87+Inputs!$B$44/C87))),1/(Inputs!$B$100+Inputs!$B$101+(Inputs!$B$38+Inputs!$B$39+Inputs!$B$42)/B87+1/(Inputs!$B$64*Inputs!$B$94/Inputs!$B$43+(1-Inputs!$B$64)*B87/Inputs!$B$43)+1/(Inputs!$B$64*Inputs!$B$94/Inputs!$B$44+(1-Inputs!$B$64)*C87/Inputs!$B$44)),(1/(1/(Inputs!$B$63/(Inputs!$B$100+Inputs!$B$101+(Inputs!$B$38+Inputs!$B$39+Inputs!$B$42)/B87+Inputs!$B$40/Inputs!$B$94)+(1-Inputs!$B$63)/(Inputs!$B$100+Inputs!$B$101+(Inputs!$B$38+Inputs!$B$39+Inputs!$B$43+Inputs!$B$42)/B87+Inputs!$B$44/C87)))+1/(Inputs!$B$100+Inputs!$B$101+(Inputs!$B$38+Inputs!$B$39+Inputs!$B$42)/B87+1/(Inputs!$B$64*Inputs!$B$94/Inputs!$B$43+(1-Inputs!$B$64)*B87/Inputs!$B$43)+1/(Inputs!$B$64*Inputs!$B$94/Inputs!$B$44+(1-Inputs!$B$64)*C87/Inputs!$B$44)))/2)),"0.000")&amp;")"</f>
        <v>9.2 (0.109)</v>
      </c>
      <c r="E87" s="67" t="str">
        <f>IF(1/(1/CHOOSE(Inputs!$B$6,1/(1/(Inputs!$B$63/(Inputs!$B$100+Inputs!$B$101+(Inputs!$B$38+Inputs!$B$39+Inputs!$B$42)/B87+Inputs!$B$40/Inputs!$B$94)+(1-Inputs!$B$63)/(Inputs!$B$100+Inputs!$B$101+(Inputs!$B$38+Inputs!$B$39+Inputs!$B$43+Inputs!$B$42)/B87+Inputs!$B$44/C87))),1/(Inputs!$B$100+Inputs!$B$101+(Inputs!$B$38+Inputs!$B$39+Inputs!$B$42)/B87+1/(Inputs!$B$64*Inputs!$B$94/Inputs!$B$43+(1-Inputs!$B$64)*B87/Inputs!$B$43)+1/(Inputs!$B$64*Inputs!$B$94/Inputs!$B$44+(1-Inputs!$B$64)*C87/Inputs!$B$44)),(1/(1/(Inputs!$B$63/(Inputs!$B$100+Inputs!$B$101+(Inputs!$B$38+Inputs!$B$39+Inputs!$B$42)/B87+Inputs!$B$40/Inputs!$B$94)+(1-Inputs!$B$63)/(Inputs!$B$100+Inputs!$B$101+(Inputs!$B$38+Inputs!$B$39+Inputs!$B$43+Inputs!$B$42)/B87+Inputs!$B$44/C87)))+1/(Inputs!$B$100+Inputs!$B$101+(Inputs!$B$38+Inputs!$B$39+Inputs!$B$42)/B87+1/(Inputs!$B$64*Inputs!$B$94/Inputs!$B$43+(1-Inputs!$B$64)*B87/Inputs!$B$43)+1/(Inputs!$B$64*Inputs!$B$94/Inputs!$B$44+(1-Inputs!$B$64)*C87/Inputs!$B$44)))/2))&lt;=Code!$B$18,"PASS","FAIL, "&amp;TEXT(MAX(0,1/Code!$B$18-(1/CHOOSE(Inputs!$B$6,1/(1/(Inputs!$B$63/(Inputs!$B$100+Inputs!$B$101+(Inputs!$B$38+Inputs!$B$39+Inputs!$B$42)/B87+Inputs!$B$40/Inputs!$B$94)+(1-Inputs!$B$63)/(Inputs!$B$100+Inputs!$B$101+(Inputs!$B$38+Inputs!$B$39+Inputs!$B$43+Inputs!$B$42)/B87+Inputs!$B$44/C87))),1/(Inputs!$B$100+Inputs!$B$101+(Inputs!$B$38+Inputs!$B$39+Inputs!$B$42)/B87+1/(Inputs!$B$64*Inputs!$B$94/Inputs!$B$43+(1-Inputs!$B$64)*B87/Inputs!$B$43)+1/(Inputs!$B$64*Inputs!$B$94/Inputs!$B$44+(1-Inputs!$B$64)*C87/Inputs!$B$44)),(1/(1/(Inputs!$B$63/(Inputs!$B$100+Inputs!$B$101+(Inputs!$B$38+Inputs!$B$39+Inputs!$B$42)/B87+Inputs!$B$40/Inputs!$B$94)+(1-Inputs!$B$63)/(Inputs!$B$100+Inputs!$B$101+(Inputs!$B$38+Inputs!$B$39+Inputs!$B$43+Inputs!$B$42)/B87+Inputs!$B$44/C87)))+1/(Inputs!$B$100+Inputs!$B$101+(Inputs!$B$38+Inputs!$B$39+Inputs!$B$42)/B87+1/(Inputs!$B$64*Inputs!$B$94/Inputs!$B$43+(1-Inputs!$B$64)*B87/Inputs!$B$43)+1/(Inputs!$B$64*Inputs!$B$94/Inputs!$B$44+(1-Inputs!$B$64)*C87/Inputs!$B$44)))/2)))/Inputs!$B$108,"0.00")&amp;""" polyiso")</f>
        <v>FAIL, 1.24" polyiso</v>
      </c>
      <c r="F87" s="53">
        <f>Inputs!$B$100+Inputs!$B$101+$B$77/B87+$B$76</f>
        <v>13.151544499872966</v>
      </c>
      <c r="G87" s="49">
        <f>1/F87</f>
        <v>7.6036696679212035E-2</v>
      </c>
      <c r="H87" s="57" t="str">
        <f>IF(G87&lt;=$B$81,"PASS","FAIL, "&amp;TEXT(MAX(0,1/$B$81-F87)/Inputs!$B$108,"0.00")&amp;""" polyiso")</f>
        <v>FAIL, 1.51" polyiso</v>
      </c>
      <c r="I87" s="57" t="str">
        <f>IF(G87&lt;=$B$82,"PASS","FAIL, "&amp;TEXT(MAX(0,1/$B$82-F87)/Inputs!$B$108,"0.00")&amp;""" polyiso")</f>
        <v>FAIL, 0.41" polyiso</v>
      </c>
    </row>
    <row r="88" spans="1:9" ht="30" customHeight="1" x14ac:dyDescent="0.3">
      <c r="A88" s="66" t="s">
        <v>559</v>
      </c>
      <c r="B88" s="39">
        <f>Inputs!$B$27</f>
        <v>1.3278840765109141</v>
      </c>
      <c r="C88" s="39">
        <f>Inputs!$B$28</f>
        <v>1.1025344031468431</v>
      </c>
      <c r="D88" s="67" t="str">
        <f>TEXT((1/CHOOSE(Inputs!$B$6,1/(1/(Inputs!$B$63/(Inputs!$B$100+Inputs!$B$101+(Inputs!$B$38+Inputs!$B$39+Inputs!$B$42)/B88+Inputs!$B$40/Inputs!$B$94)+(1-Inputs!$B$63)/(Inputs!$B$100+Inputs!$B$101+(Inputs!$B$38+Inputs!$B$39+Inputs!$B$43+Inputs!$B$42)/B88+Inputs!$B$44/C88))),1/(Inputs!$B$100+Inputs!$B$101+(Inputs!$B$38+Inputs!$B$39+Inputs!$B$42)/B88+1/(Inputs!$B$64*Inputs!$B$94/Inputs!$B$43+(1-Inputs!$B$64)*B88/Inputs!$B$43)+1/(Inputs!$B$64*Inputs!$B$94/Inputs!$B$44+(1-Inputs!$B$64)*C88/Inputs!$B$44)),(1/(1/(Inputs!$B$63/(Inputs!$B$100+Inputs!$B$101+(Inputs!$B$38+Inputs!$B$39+Inputs!$B$42)/B88+Inputs!$B$40/Inputs!$B$94)+(1-Inputs!$B$63)/(Inputs!$B$100+Inputs!$B$101+(Inputs!$B$38+Inputs!$B$39+Inputs!$B$43+Inputs!$B$42)/B88+Inputs!$B$44/C88)))+1/(Inputs!$B$100+Inputs!$B$101+(Inputs!$B$38+Inputs!$B$39+Inputs!$B$42)/B88+1/(Inputs!$B$64*Inputs!$B$94/Inputs!$B$43+(1-Inputs!$B$64)*B88/Inputs!$B$43)+1/(Inputs!$B$64*Inputs!$B$94/Inputs!$B$44+(1-Inputs!$B$64)*C88/Inputs!$B$44)))/2)),"0.0")&amp;" ("&amp;TEXT(1/(1/CHOOSE(Inputs!$B$6,1/(1/(Inputs!$B$63/(Inputs!$B$100+Inputs!$B$101+(Inputs!$B$38+Inputs!$B$39+Inputs!$B$42)/B88+Inputs!$B$40/Inputs!$B$94)+(1-Inputs!$B$63)/(Inputs!$B$100+Inputs!$B$101+(Inputs!$B$38+Inputs!$B$39+Inputs!$B$43+Inputs!$B$42)/B88+Inputs!$B$44/C88))),1/(Inputs!$B$100+Inputs!$B$101+(Inputs!$B$38+Inputs!$B$39+Inputs!$B$42)/B88+1/(Inputs!$B$64*Inputs!$B$94/Inputs!$B$43+(1-Inputs!$B$64)*B88/Inputs!$B$43)+1/(Inputs!$B$64*Inputs!$B$94/Inputs!$B$44+(1-Inputs!$B$64)*C88/Inputs!$B$44)),(1/(1/(Inputs!$B$63/(Inputs!$B$100+Inputs!$B$101+(Inputs!$B$38+Inputs!$B$39+Inputs!$B$42)/B88+Inputs!$B$40/Inputs!$B$94)+(1-Inputs!$B$63)/(Inputs!$B$100+Inputs!$B$101+(Inputs!$B$38+Inputs!$B$39+Inputs!$B$43+Inputs!$B$42)/B88+Inputs!$B$44/C88)))+1/(Inputs!$B$100+Inputs!$B$101+(Inputs!$B$38+Inputs!$B$39+Inputs!$B$42)/B88+1/(Inputs!$B$64*Inputs!$B$94/Inputs!$B$43+(1-Inputs!$B$64)*B88/Inputs!$B$43)+1/(Inputs!$B$64*Inputs!$B$94/Inputs!$B$44+(1-Inputs!$B$64)*C88/Inputs!$B$44)))/2)),"0.000")&amp;")"</f>
        <v>7.9 (0.127)</v>
      </c>
      <c r="E88" s="67" t="str">
        <f>IF(1/(1/CHOOSE(Inputs!$B$6,1/(1/(Inputs!$B$63/(Inputs!$B$100+Inputs!$B$101+(Inputs!$B$38+Inputs!$B$39+Inputs!$B$42)/B88+Inputs!$B$40/Inputs!$B$94)+(1-Inputs!$B$63)/(Inputs!$B$100+Inputs!$B$101+(Inputs!$B$38+Inputs!$B$39+Inputs!$B$43+Inputs!$B$42)/B88+Inputs!$B$44/C88))),1/(Inputs!$B$100+Inputs!$B$101+(Inputs!$B$38+Inputs!$B$39+Inputs!$B$42)/B88+1/(Inputs!$B$64*Inputs!$B$94/Inputs!$B$43+(1-Inputs!$B$64)*B88/Inputs!$B$43)+1/(Inputs!$B$64*Inputs!$B$94/Inputs!$B$44+(1-Inputs!$B$64)*C88/Inputs!$B$44)),(1/(1/(Inputs!$B$63/(Inputs!$B$100+Inputs!$B$101+(Inputs!$B$38+Inputs!$B$39+Inputs!$B$42)/B88+Inputs!$B$40/Inputs!$B$94)+(1-Inputs!$B$63)/(Inputs!$B$100+Inputs!$B$101+(Inputs!$B$38+Inputs!$B$39+Inputs!$B$43+Inputs!$B$42)/B88+Inputs!$B$44/C88)))+1/(Inputs!$B$100+Inputs!$B$101+(Inputs!$B$38+Inputs!$B$39+Inputs!$B$42)/B88+1/(Inputs!$B$64*Inputs!$B$94/Inputs!$B$43+(1-Inputs!$B$64)*B88/Inputs!$B$43)+1/(Inputs!$B$64*Inputs!$B$94/Inputs!$B$44+(1-Inputs!$B$64)*C88/Inputs!$B$44)))/2))&lt;=Code!$B$18,"PASS","FAIL, "&amp;TEXT(MAX(0,1/Code!$B$18-(1/CHOOSE(Inputs!$B$6,1/(1/(Inputs!$B$63/(Inputs!$B$100+Inputs!$B$101+(Inputs!$B$38+Inputs!$B$39+Inputs!$B$42)/B88+Inputs!$B$40/Inputs!$B$94)+(1-Inputs!$B$63)/(Inputs!$B$100+Inputs!$B$101+(Inputs!$B$38+Inputs!$B$39+Inputs!$B$43+Inputs!$B$42)/B88+Inputs!$B$44/C88))),1/(Inputs!$B$100+Inputs!$B$101+(Inputs!$B$38+Inputs!$B$39+Inputs!$B$42)/B88+1/(Inputs!$B$64*Inputs!$B$94/Inputs!$B$43+(1-Inputs!$B$64)*B88/Inputs!$B$43)+1/(Inputs!$B$64*Inputs!$B$94/Inputs!$B$44+(1-Inputs!$B$64)*C88/Inputs!$B$44)),(1/(1/(Inputs!$B$63/(Inputs!$B$100+Inputs!$B$101+(Inputs!$B$38+Inputs!$B$39+Inputs!$B$42)/B88+Inputs!$B$40/Inputs!$B$94)+(1-Inputs!$B$63)/(Inputs!$B$100+Inputs!$B$101+(Inputs!$B$38+Inputs!$B$39+Inputs!$B$43+Inputs!$B$42)/B88+Inputs!$B$44/C88)))+1/(Inputs!$B$100+Inputs!$B$101+(Inputs!$B$38+Inputs!$B$39+Inputs!$B$42)/B88+1/(Inputs!$B$64*Inputs!$B$94/Inputs!$B$43+(1-Inputs!$B$64)*B88/Inputs!$B$43)+1/(Inputs!$B$64*Inputs!$B$94/Inputs!$B$44+(1-Inputs!$B$64)*C88/Inputs!$B$44)))/2)))/Inputs!$B$108,"0.00")&amp;""" polyiso")</f>
        <v>FAIL, 1.47" polyiso</v>
      </c>
      <c r="F88" s="53">
        <f>Inputs!$B$100+Inputs!$B$101+$B$77/B88+$B$76</f>
        <v>13.151544499872966</v>
      </c>
      <c r="G88" s="49">
        <f>1/F88</f>
        <v>7.6036696679212035E-2</v>
      </c>
      <c r="H88" s="57" t="str">
        <f>IF(G88&lt;=$B$81,"PASS","FAIL, "&amp;TEXT(MAX(0,1/$B$81-F88)/Inputs!$B$108,"0.00")&amp;""" polyiso")</f>
        <v>FAIL, 1.51" polyiso</v>
      </c>
      <c r="I88" s="57" t="str">
        <f>IF(G88&lt;=$B$82,"PASS","FAIL, "&amp;TEXT(MAX(0,1/$B$82-F88)/Inputs!$B$108,"0.00")&amp;""" polyiso")</f>
        <v>FAIL, 0.41" polyiso</v>
      </c>
    </row>
    <row r="89" spans="1:9" x14ac:dyDescent="0.3">
      <c r="A89" s="2"/>
      <c r="B89" s="2"/>
      <c r="C89" s="2"/>
      <c r="D89" s="2"/>
      <c r="E89" s="2"/>
      <c r="F89" s="2"/>
      <c r="G89" s="2"/>
      <c r="H89" s="2"/>
      <c r="I89" s="2"/>
    </row>
    <row r="90" spans="1:9" x14ac:dyDescent="0.3">
      <c r="A90" s="3" t="s">
        <v>560</v>
      </c>
      <c r="B90" s="4"/>
      <c r="C90" s="4"/>
      <c r="D90" s="4"/>
      <c r="E90" s="4"/>
      <c r="F90" s="4"/>
      <c r="G90" s="4"/>
      <c r="H90" s="4"/>
      <c r="I90" s="4"/>
    </row>
    <row r="91" spans="1:9" ht="43.95" customHeight="1" x14ac:dyDescent="0.3">
      <c r="A91" s="72" t="s">
        <v>561</v>
      </c>
      <c r="B91" s="73"/>
      <c r="C91" s="73"/>
      <c r="D91" s="73"/>
      <c r="E91" s="73"/>
      <c r="F91" s="73"/>
      <c r="G91" s="73"/>
      <c r="H91" s="73"/>
      <c r="I91" s="73"/>
    </row>
    <row r="92" spans="1:9" ht="43.95" customHeight="1" x14ac:dyDescent="0.3">
      <c r="A92" s="72" t="s">
        <v>562</v>
      </c>
      <c r="B92" s="73"/>
      <c r="C92" s="73"/>
      <c r="D92" s="73"/>
      <c r="E92" s="73"/>
      <c r="F92" s="73"/>
      <c r="G92" s="73"/>
      <c r="H92" s="73"/>
      <c r="I92" s="73"/>
    </row>
    <row r="93" spans="1:9" ht="43.95" customHeight="1" x14ac:dyDescent="0.3">
      <c r="A93" s="72" t="s">
        <v>563</v>
      </c>
      <c r="B93" s="73"/>
      <c r="C93" s="73"/>
      <c r="D93" s="73"/>
      <c r="E93" s="73"/>
      <c r="F93" s="73"/>
      <c r="G93" s="73"/>
      <c r="H93" s="73"/>
      <c r="I93" s="73"/>
    </row>
    <row r="94" spans="1:9" ht="43.95" customHeight="1" x14ac:dyDescent="0.3">
      <c r="A94" s="72" t="s">
        <v>564</v>
      </c>
      <c r="B94" s="73"/>
      <c r="C94" s="73"/>
      <c r="D94" s="73"/>
      <c r="E94" s="73"/>
      <c r="F94" s="73"/>
      <c r="G94" s="73"/>
      <c r="H94" s="73"/>
      <c r="I94" s="73"/>
    </row>
    <row r="95" spans="1:9" ht="43.95" customHeight="1" x14ac:dyDescent="0.3">
      <c r="A95" s="72" t="s">
        <v>565</v>
      </c>
      <c r="B95" s="73"/>
      <c r="C95" s="73"/>
      <c r="D95" s="73"/>
      <c r="E95" s="73"/>
      <c r="F95" s="73"/>
      <c r="G95" s="73"/>
      <c r="H95" s="73"/>
      <c r="I95" s="73"/>
    </row>
  </sheetData>
  <mergeCells count="13">
    <mergeCell ref="A13:G13"/>
    <mergeCell ref="A95:I95"/>
    <mergeCell ref="A84:I84"/>
    <mergeCell ref="A2:H2"/>
    <mergeCell ref="A93:I93"/>
    <mergeCell ref="A48:G48"/>
    <mergeCell ref="A94:I94"/>
    <mergeCell ref="A30:G30"/>
    <mergeCell ref="A91:I91"/>
    <mergeCell ref="A71:G71"/>
    <mergeCell ref="A92:I92"/>
    <mergeCell ref="A24:I24"/>
    <mergeCell ref="A46:G46"/>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41"/>
  <sheetViews>
    <sheetView showGridLines="0" workbookViewId="0">
      <pane ySplit="3" topLeftCell="A4" activePane="bottomLeft" state="frozen"/>
      <selection pane="bottomLeft"/>
    </sheetView>
  </sheetViews>
  <sheetFormatPr defaultRowHeight="14.4" x14ac:dyDescent="0.3"/>
  <cols>
    <col min="1" max="1" width="44" customWidth="1"/>
    <col min="2" max="3" width="14" customWidth="1"/>
    <col min="4" max="4" width="18" customWidth="1"/>
    <col min="5" max="5" width="70" customWidth="1"/>
  </cols>
  <sheetData>
    <row r="1" spans="1:8" ht="17.399999999999999" x14ac:dyDescent="0.3">
      <c r="A1" s="1" t="s">
        <v>566</v>
      </c>
      <c r="B1" s="2"/>
      <c r="C1" s="2"/>
      <c r="D1" s="2"/>
      <c r="E1" s="2"/>
      <c r="F1" s="2"/>
      <c r="G1" s="2"/>
      <c r="H1" s="2"/>
    </row>
    <row r="2" spans="1:8" ht="43.95" customHeight="1" x14ac:dyDescent="0.3">
      <c r="A2" s="74" t="s">
        <v>567</v>
      </c>
      <c r="B2" s="73"/>
      <c r="C2" s="73"/>
      <c r="D2" s="73"/>
      <c r="E2" s="73"/>
      <c r="F2" s="73"/>
      <c r="G2" s="73"/>
      <c r="H2" s="73"/>
    </row>
    <row r="3" spans="1:8" x14ac:dyDescent="0.3">
      <c r="A3" s="2"/>
      <c r="B3" s="2"/>
      <c r="C3" s="2"/>
      <c r="D3" s="2"/>
      <c r="E3" s="2"/>
      <c r="F3" s="2"/>
      <c r="G3" s="2"/>
      <c r="H3" s="2"/>
    </row>
    <row r="4" spans="1:8" x14ac:dyDescent="0.3">
      <c r="A4" s="13" t="s">
        <v>568</v>
      </c>
      <c r="B4" s="18" t="str">
        <f>Inputs!$B$31</f>
        <v>MEASURED R-2.1/in on all cellular concrete</v>
      </c>
      <c r="C4" s="7"/>
      <c r="D4" s="8" t="s">
        <v>569</v>
      </c>
      <c r="E4" s="2"/>
      <c r="F4" s="2"/>
      <c r="G4" s="2"/>
      <c r="H4" s="2"/>
    </row>
    <row r="5" spans="1:8" x14ac:dyDescent="0.3">
      <c r="A5" s="2"/>
      <c r="B5" s="2"/>
      <c r="C5" s="2"/>
      <c r="D5" s="2"/>
      <c r="E5" s="2"/>
      <c r="F5" s="2"/>
      <c r="G5" s="2"/>
      <c r="H5" s="2"/>
    </row>
    <row r="6" spans="1:8" x14ac:dyDescent="0.3">
      <c r="A6" s="3" t="s">
        <v>570</v>
      </c>
      <c r="B6" s="4"/>
      <c r="C6" s="4"/>
      <c r="D6" s="4"/>
      <c r="E6" s="4"/>
      <c r="F6" s="2"/>
      <c r="G6" s="2"/>
      <c r="H6" s="2"/>
    </row>
    <row r="7" spans="1:8" ht="30" customHeight="1" x14ac:dyDescent="0.3">
      <c r="A7" s="34" t="s">
        <v>571</v>
      </c>
      <c r="B7" s="34" t="s">
        <v>256</v>
      </c>
      <c r="C7" s="34" t="s">
        <v>299</v>
      </c>
      <c r="D7" s="34" t="s">
        <v>572</v>
      </c>
      <c r="E7" s="34" t="s">
        <v>573</v>
      </c>
      <c r="F7" s="2"/>
      <c r="G7" s="2"/>
      <c r="H7" s="2"/>
    </row>
    <row r="8" spans="1:8" x14ac:dyDescent="0.3">
      <c r="A8" s="43" t="s">
        <v>574</v>
      </c>
      <c r="B8" s="39">
        <f>Inputs!$B$94</f>
        <v>314</v>
      </c>
      <c r="C8" s="45">
        <f t="shared" ref="C8:C22" si="0">1/B8</f>
        <v>3.1847133757961785E-3</v>
      </c>
      <c r="D8" s="45">
        <f>B8/Inputs!$B$18</f>
        <v>659.40000000000009</v>
      </c>
      <c r="E8" s="41" t="s">
        <v>575</v>
      </c>
      <c r="F8" s="2"/>
      <c r="G8" s="2"/>
      <c r="H8" s="2"/>
    </row>
    <row r="9" spans="1:8" x14ac:dyDescent="0.3">
      <c r="A9" s="43" t="s">
        <v>576</v>
      </c>
      <c r="B9" s="40">
        <v>10.5</v>
      </c>
      <c r="C9" s="45">
        <f t="shared" si="0"/>
        <v>9.5238095238095233E-2</v>
      </c>
      <c r="D9" s="45">
        <f>B9/Inputs!$B$18</f>
        <v>22.05</v>
      </c>
      <c r="E9" s="41" t="s">
        <v>577</v>
      </c>
      <c r="F9" s="2"/>
      <c r="G9" s="2"/>
      <c r="H9" s="2"/>
    </row>
    <row r="10" spans="1:8" x14ac:dyDescent="0.3">
      <c r="A10" s="43" t="s">
        <v>578</v>
      </c>
      <c r="B10" s="40">
        <v>3.6</v>
      </c>
      <c r="C10" s="45">
        <f t="shared" si="0"/>
        <v>0.27777777777777779</v>
      </c>
      <c r="D10" s="45">
        <f>B10/Inputs!$B$18</f>
        <v>7.5600000000000005</v>
      </c>
      <c r="E10" s="41" t="s">
        <v>579</v>
      </c>
      <c r="F10" s="2"/>
      <c r="G10" s="2"/>
      <c r="H10" s="2"/>
    </row>
    <row r="11" spans="1:8" x14ac:dyDescent="0.3">
      <c r="A11" s="43" t="s">
        <v>580</v>
      </c>
      <c r="B11" s="40">
        <v>1.1000000000000001</v>
      </c>
      <c r="C11" s="45">
        <f t="shared" si="0"/>
        <v>0.90909090909090906</v>
      </c>
      <c r="D11" s="45">
        <f>B11/Inputs!$B$18</f>
        <v>2.3100000000000005</v>
      </c>
      <c r="E11" s="41" t="s">
        <v>579</v>
      </c>
      <c r="F11" s="2"/>
      <c r="G11" s="2"/>
      <c r="H11" s="2"/>
    </row>
    <row r="12" spans="1:8" x14ac:dyDescent="0.3">
      <c r="A12" s="43" t="s">
        <v>581</v>
      </c>
      <c r="B12" s="39">
        <f>'k-values'!$B$10*35^'k-values'!$B$9</f>
        <v>1.1065700637590952</v>
      </c>
      <c r="C12" s="45">
        <f t="shared" si="0"/>
        <v>0.90369334283536529</v>
      </c>
      <c r="D12" s="45">
        <f>B12/Inputs!$B$18</f>
        <v>2.3237971338941001</v>
      </c>
      <c r="E12" s="41" t="s">
        <v>582</v>
      </c>
      <c r="F12" s="2"/>
      <c r="G12" s="2"/>
      <c r="H12" s="2"/>
    </row>
    <row r="13" spans="1:8" x14ac:dyDescent="0.3">
      <c r="A13" s="43" t="s">
        <v>583</v>
      </c>
      <c r="B13" s="39">
        <f>'k-values'!$B$10*30^'k-values'!$B$9</f>
        <v>0.91877866928903595</v>
      </c>
      <c r="C13" s="45">
        <f t="shared" si="0"/>
        <v>1.0884014109446123</v>
      </c>
      <c r="D13" s="45">
        <f>B13/Inputs!$B$18</f>
        <v>1.9294352055069757</v>
      </c>
      <c r="E13" s="41" t="s">
        <v>584</v>
      </c>
      <c r="F13" s="2"/>
      <c r="G13" s="2"/>
      <c r="H13" s="2"/>
    </row>
    <row r="14" spans="1:8" x14ac:dyDescent="0.3">
      <c r="A14" s="68" t="s">
        <v>585</v>
      </c>
      <c r="B14" s="69">
        <f>Inputs!$B$18</f>
        <v>0.47619047619047616</v>
      </c>
      <c r="C14" s="70">
        <f t="shared" si="0"/>
        <v>2.1</v>
      </c>
      <c r="D14" s="71">
        <f>B14/Inputs!$B$18</f>
        <v>1</v>
      </c>
      <c r="E14" s="41" t="s">
        <v>586</v>
      </c>
      <c r="F14" s="2"/>
      <c r="G14" s="2"/>
      <c r="H14" s="2"/>
    </row>
    <row r="15" spans="1:8" x14ac:dyDescent="0.3">
      <c r="A15" s="43" t="s">
        <v>587</v>
      </c>
      <c r="B15" s="40">
        <v>0.9</v>
      </c>
      <c r="C15" s="45">
        <f t="shared" si="0"/>
        <v>1.1111111111111112</v>
      </c>
      <c r="D15" s="45">
        <f>B15/Inputs!$B$18</f>
        <v>1.8900000000000001</v>
      </c>
      <c r="E15" s="41" t="s">
        <v>579</v>
      </c>
      <c r="F15" s="2"/>
      <c r="G15" s="2"/>
      <c r="H15" s="2"/>
    </row>
    <row r="16" spans="1:8" x14ac:dyDescent="0.3">
      <c r="A16" s="43" t="s">
        <v>588</v>
      </c>
      <c r="B16" s="40">
        <v>0.8</v>
      </c>
      <c r="C16" s="45">
        <f t="shared" si="0"/>
        <v>1.25</v>
      </c>
      <c r="D16" s="45">
        <f>B16/Inputs!$B$18</f>
        <v>1.6800000000000002</v>
      </c>
      <c r="E16" s="41" t="s">
        <v>579</v>
      </c>
      <c r="F16" s="2"/>
      <c r="G16" s="2"/>
      <c r="H16" s="2"/>
    </row>
    <row r="17" spans="1:8" x14ac:dyDescent="0.3">
      <c r="A17" s="43" t="s">
        <v>589</v>
      </c>
      <c r="B17" s="39">
        <f>'k-values'!$B$10*20^'k-values'!$B$9</f>
        <v>0.56333333333333302</v>
      </c>
      <c r="C17" s="45">
        <f t="shared" si="0"/>
        <v>1.7751479289940839</v>
      </c>
      <c r="D17" s="45">
        <f>B17/Inputs!$B$18</f>
        <v>1.1829999999999994</v>
      </c>
      <c r="E17" s="41" t="s">
        <v>590</v>
      </c>
      <c r="F17" s="2"/>
      <c r="G17" s="2"/>
      <c r="H17" s="2"/>
    </row>
    <row r="18" spans="1:8" x14ac:dyDescent="0.3">
      <c r="A18" s="43" t="s">
        <v>591</v>
      </c>
      <c r="B18" s="40">
        <v>0.28999999999999998</v>
      </c>
      <c r="C18" s="45">
        <f t="shared" si="0"/>
        <v>3.4482758620689657</v>
      </c>
      <c r="D18" s="45">
        <f>B18/Inputs!$B$18</f>
        <v>0.60899999999999999</v>
      </c>
      <c r="E18" s="41" t="s">
        <v>592</v>
      </c>
      <c r="F18" s="2"/>
      <c r="G18" s="2"/>
      <c r="H18" s="2"/>
    </row>
    <row r="19" spans="1:8" x14ac:dyDescent="0.3">
      <c r="A19" s="43" t="s">
        <v>593</v>
      </c>
      <c r="B19" s="40">
        <v>0.26</v>
      </c>
      <c r="C19" s="45">
        <f t="shared" si="0"/>
        <v>3.8461538461538458</v>
      </c>
      <c r="D19" s="45">
        <f>B19/Inputs!$B$18</f>
        <v>0.54600000000000004</v>
      </c>
      <c r="E19" s="41" t="s">
        <v>594</v>
      </c>
      <c r="F19" s="2"/>
      <c r="G19" s="2"/>
      <c r="H19" s="2"/>
    </row>
    <row r="20" spans="1:8" x14ac:dyDescent="0.3">
      <c r="A20" s="43" t="s">
        <v>184</v>
      </c>
      <c r="B20" s="40">
        <v>0.24</v>
      </c>
      <c r="C20" s="45">
        <f t="shared" si="0"/>
        <v>4.166666666666667</v>
      </c>
      <c r="D20" s="45">
        <f>B20/Inputs!$B$18</f>
        <v>0.504</v>
      </c>
      <c r="E20" s="41" t="s">
        <v>595</v>
      </c>
      <c r="F20" s="2"/>
      <c r="G20" s="2"/>
      <c r="H20" s="2"/>
    </row>
    <row r="21" spans="1:8" x14ac:dyDescent="0.3">
      <c r="A21" s="43" t="s">
        <v>180</v>
      </c>
      <c r="B21" s="40">
        <v>0.2</v>
      </c>
      <c r="C21" s="45">
        <f t="shared" si="0"/>
        <v>5</v>
      </c>
      <c r="D21" s="45">
        <f>B21/Inputs!$B$18</f>
        <v>0.42000000000000004</v>
      </c>
      <c r="E21" s="41" t="s">
        <v>596</v>
      </c>
      <c r="F21" s="2"/>
      <c r="G21" s="2"/>
      <c r="H21" s="2"/>
    </row>
    <row r="22" spans="1:8" x14ac:dyDescent="0.3">
      <c r="A22" s="43" t="s">
        <v>597</v>
      </c>
      <c r="B22" s="40">
        <v>0.16</v>
      </c>
      <c r="C22" s="45">
        <f t="shared" si="0"/>
        <v>6.25</v>
      </c>
      <c r="D22" s="45">
        <f>B22/Inputs!$B$18</f>
        <v>0.33600000000000002</v>
      </c>
      <c r="E22" s="41" t="s">
        <v>598</v>
      </c>
      <c r="F22" s="2"/>
      <c r="G22" s="2"/>
      <c r="H22" s="2"/>
    </row>
    <row r="23" spans="1:8" x14ac:dyDescent="0.3">
      <c r="A23" s="2"/>
      <c r="B23" s="2"/>
      <c r="C23" s="2"/>
      <c r="D23" s="2"/>
      <c r="E23" s="2"/>
      <c r="F23" s="2"/>
      <c r="G23" s="2"/>
      <c r="H23" s="2"/>
    </row>
    <row r="24" spans="1:8" ht="60" customHeight="1" x14ac:dyDescent="0.3">
      <c r="A24" s="72" t="s">
        <v>599</v>
      </c>
      <c r="B24" s="73"/>
      <c r="C24" s="73"/>
      <c r="D24" s="73"/>
      <c r="E24" s="73"/>
      <c r="F24" s="2"/>
      <c r="G24" s="2"/>
      <c r="H24" s="2"/>
    </row>
    <row r="25" spans="1:8" x14ac:dyDescent="0.3">
      <c r="A25" s="2"/>
      <c r="B25" s="2"/>
      <c r="C25" s="2"/>
      <c r="D25" s="2"/>
      <c r="E25" s="2"/>
      <c r="F25" s="2"/>
      <c r="G25" s="2"/>
      <c r="H25" s="2"/>
    </row>
    <row r="26" spans="1:8" x14ac:dyDescent="0.3">
      <c r="A26" s="3" t="s">
        <v>600</v>
      </c>
      <c r="B26" s="4"/>
      <c r="C26" s="4"/>
      <c r="D26" s="4"/>
      <c r="E26" s="4"/>
      <c r="F26" s="2"/>
      <c r="G26" s="2"/>
      <c r="H26" s="2"/>
    </row>
    <row r="27" spans="1:8" ht="57" x14ac:dyDescent="0.3">
      <c r="A27" s="5" t="s">
        <v>601</v>
      </c>
      <c r="B27" s="6">
        <v>30</v>
      </c>
      <c r="C27" s="7" t="s">
        <v>14</v>
      </c>
      <c r="D27" s="8" t="s">
        <v>602</v>
      </c>
      <c r="E27" s="2"/>
      <c r="F27" s="2"/>
      <c r="G27" s="2"/>
      <c r="H27" s="2"/>
    </row>
    <row r="28" spans="1:8" x14ac:dyDescent="0.3">
      <c r="A28" s="5" t="s">
        <v>603</v>
      </c>
      <c r="B28" s="15">
        <f>Inputs!$B$18</f>
        <v>0.47619047619047616</v>
      </c>
      <c r="C28" s="7" t="s">
        <v>22</v>
      </c>
      <c r="D28" s="8"/>
      <c r="E28" s="2"/>
      <c r="F28" s="2"/>
      <c r="G28" s="2"/>
      <c r="H28" s="2"/>
    </row>
    <row r="29" spans="1:8" x14ac:dyDescent="0.3">
      <c r="A29" s="5" t="s">
        <v>604</v>
      </c>
      <c r="B29" s="15">
        <f>'k-values'!$B$10*$B$27^'k-values'!$B$9</f>
        <v>0.91877866928903595</v>
      </c>
      <c r="C29" s="7" t="s">
        <v>22</v>
      </c>
      <c r="D29" s="8" t="s">
        <v>605</v>
      </c>
      <c r="E29" s="2"/>
      <c r="F29" s="2"/>
      <c r="G29" s="2"/>
      <c r="H29" s="2"/>
    </row>
    <row r="30" spans="1:8" ht="22.8" x14ac:dyDescent="0.3">
      <c r="A30" s="5" t="s">
        <v>606</v>
      </c>
      <c r="B30" s="20">
        <f>$B$28/$B$29</f>
        <v>0.51828638616410105</v>
      </c>
      <c r="C30" s="7" t="s">
        <v>533</v>
      </c>
      <c r="D30" s="8" t="s">
        <v>607</v>
      </c>
      <c r="E30" s="2"/>
      <c r="F30" s="2"/>
      <c r="G30" s="2"/>
      <c r="H30" s="2"/>
    </row>
    <row r="31" spans="1:8" x14ac:dyDescent="0.3">
      <c r="A31" s="5" t="s">
        <v>608</v>
      </c>
      <c r="B31" s="22">
        <f>($B$28/'k-values'!$B$10)^(1/'k-values'!$B$9)</f>
        <v>17.399412414550902</v>
      </c>
      <c r="C31" s="7" t="s">
        <v>14</v>
      </c>
      <c r="D31" s="8" t="s">
        <v>609</v>
      </c>
      <c r="E31" s="2"/>
      <c r="F31" s="2"/>
      <c r="G31" s="2"/>
      <c r="H31" s="2"/>
    </row>
    <row r="32" spans="1:8" x14ac:dyDescent="0.3">
      <c r="A32" s="2"/>
      <c r="B32" s="2"/>
      <c r="C32" s="2"/>
      <c r="D32" s="2"/>
      <c r="E32" s="2"/>
      <c r="F32" s="2"/>
      <c r="G32" s="2"/>
      <c r="H32" s="2"/>
    </row>
    <row r="33" spans="1:8" x14ac:dyDescent="0.3">
      <c r="A33" s="3" t="s">
        <v>610</v>
      </c>
      <c r="B33" s="4"/>
      <c r="C33" s="4"/>
      <c r="D33" s="4"/>
      <c r="E33" s="4"/>
      <c r="F33" s="2"/>
      <c r="G33" s="2"/>
      <c r="H33" s="2"/>
    </row>
    <row r="34" spans="1:8" ht="30" customHeight="1" x14ac:dyDescent="0.3">
      <c r="A34" s="34" t="s">
        <v>233</v>
      </c>
      <c r="B34" s="34" t="s">
        <v>611</v>
      </c>
      <c r="C34" s="34" t="s">
        <v>237</v>
      </c>
      <c r="D34" s="34" t="s">
        <v>612</v>
      </c>
      <c r="E34" s="34"/>
      <c r="F34" s="2"/>
      <c r="G34" s="2"/>
      <c r="H34" s="2"/>
    </row>
    <row r="35" spans="1:8" x14ac:dyDescent="0.3">
      <c r="A35" s="36">
        <f>'k-values'!A16</f>
        <v>20</v>
      </c>
      <c r="B35" s="39">
        <f>'k-values'!D16</f>
        <v>0.56333333333333302</v>
      </c>
      <c r="C35" s="39">
        <f>'k-values'!E16</f>
        <v>0.74591234882063517</v>
      </c>
      <c r="D35" s="43"/>
      <c r="E35" s="2"/>
      <c r="F35" s="2"/>
      <c r="G35" s="2"/>
      <c r="H35" s="2"/>
    </row>
    <row r="36" spans="1:8" x14ac:dyDescent="0.3">
      <c r="A36" s="36">
        <f>'k-values'!A17</f>
        <v>25</v>
      </c>
      <c r="B36" s="39">
        <f>'k-values'!D17</f>
        <v>0.73736517101160493</v>
      </c>
      <c r="C36" s="39">
        <f>'k-values'!E17</f>
        <v>0.8243606353500641</v>
      </c>
      <c r="D36" s="43"/>
      <c r="E36" s="2"/>
      <c r="F36" s="2"/>
      <c r="G36" s="2"/>
      <c r="H36" s="2"/>
    </row>
    <row r="37" spans="1:8" x14ac:dyDescent="0.3">
      <c r="A37" s="36">
        <f>'k-values'!A18</f>
        <v>30</v>
      </c>
      <c r="B37" s="39">
        <f>'k-values'!D18</f>
        <v>0.91877866928903595</v>
      </c>
      <c r="C37" s="39">
        <f>'k-values'!E18</f>
        <v>0.91105940019525444</v>
      </c>
      <c r="D37" s="43"/>
      <c r="E37" s="2"/>
      <c r="F37" s="2"/>
      <c r="G37" s="2"/>
      <c r="H37" s="2"/>
    </row>
    <row r="38" spans="1:8" x14ac:dyDescent="0.3">
      <c r="A38" s="36">
        <f>'k-values'!A19</f>
        <v>35</v>
      </c>
      <c r="B38" s="39">
        <f>'k-values'!D19</f>
        <v>1.1065700637590952</v>
      </c>
      <c r="C38" s="39">
        <f>'k-values'!E19</f>
        <v>1.0068763537352383</v>
      </c>
      <c r="D38" s="43"/>
      <c r="E38" s="2"/>
      <c r="F38" s="2"/>
      <c r="G38" s="2"/>
      <c r="H38" s="2"/>
    </row>
    <row r="39" spans="1:8" x14ac:dyDescent="0.3">
      <c r="A39" s="36">
        <f>'k-values'!A20</f>
        <v>40</v>
      </c>
      <c r="B39" s="39">
        <f>'k-values'!D20</f>
        <v>1.3</v>
      </c>
      <c r="C39" s="39">
        <f>'k-values'!E20</f>
        <v>1.1127704642462339</v>
      </c>
      <c r="D39" s="43"/>
      <c r="E39" s="2"/>
      <c r="F39" s="2"/>
      <c r="G39" s="2"/>
      <c r="H39" s="2"/>
    </row>
    <row r="40" spans="1:8" x14ac:dyDescent="0.3">
      <c r="A40" s="36">
        <f>'k-values'!A21</f>
        <v>50</v>
      </c>
      <c r="B40" s="39">
        <f>'k-values'!D21</f>
        <v>1.7016119331037038</v>
      </c>
      <c r="C40" s="39">
        <f>'k-values'!E21</f>
        <v>1.3591409142295225</v>
      </c>
      <c r="D40" s="43"/>
      <c r="E40" s="2"/>
      <c r="F40" s="2"/>
      <c r="G40" s="2"/>
      <c r="H40" s="2"/>
    </row>
    <row r="41" spans="1:8" x14ac:dyDescent="0.3">
      <c r="A41" s="36">
        <f>$B$27</f>
        <v>30</v>
      </c>
      <c r="B41" s="43"/>
      <c r="C41" s="43"/>
      <c r="D41" s="38">
        <f>$B$28</f>
        <v>0.47619047619047616</v>
      </c>
      <c r="E41" s="44" t="s">
        <v>613</v>
      </c>
      <c r="F41" s="2"/>
      <c r="G41" s="2"/>
      <c r="H41" s="2"/>
    </row>
  </sheetData>
  <mergeCells count="2">
    <mergeCell ref="A2:H2"/>
    <mergeCell ref="A24:E24"/>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Inputs</vt:lpstr>
      <vt:lpstr>k-values</vt:lpstr>
      <vt:lpstr>Wall</vt:lpstr>
      <vt:lpstr>Roof</vt:lpstr>
      <vt:lpstr>Floor</vt:lpstr>
      <vt:lpstr>Mass wall</vt:lpstr>
      <vt:lpstr>Code</vt:lpstr>
      <vt:lpstr>Options</vt:lpstr>
      <vt:lpstr>Compare</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MG LLC</cp:lastModifiedBy>
  <dcterms:created xsi:type="dcterms:W3CDTF">2026-09-13T03:32:21Z</dcterms:created>
  <dcterms:modified xsi:type="dcterms:W3CDTF">2026-09-13T03:32:23Z</dcterms:modified>
</cp:coreProperties>
</file>